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Sales &amp; Marketing GM\Peter Docherty\"/>
    </mc:Choice>
  </mc:AlternateContent>
  <xr:revisionPtr revIDLastSave="0" documentId="8_{298EE447-904F-45B0-9F49-6A2BEBD00A31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CBI %" sheetId="3" r:id="rId1"/>
    <sheet name="CBI Value YTD" sheetId="4" r:id="rId2"/>
    <sheet name="Purchase YTD" sheetId="5" r:id="rId3"/>
    <sheet name="Cat CBI Templat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6" l="1"/>
  <c r="J21" i="6"/>
  <c r="V17" i="6" l="1"/>
  <c r="C24" i="6" l="1"/>
  <c r="C21" i="6"/>
  <c r="C20" i="6"/>
  <c r="C16" i="6"/>
  <c r="C13" i="6"/>
  <c r="C11" i="6"/>
  <c r="C6" i="6"/>
  <c r="D24" i="6"/>
  <c r="D21" i="6"/>
  <c r="D20" i="6"/>
  <c r="D16" i="6"/>
  <c r="D15" i="6"/>
  <c r="D13" i="6"/>
  <c r="D11" i="6"/>
  <c r="D6" i="6"/>
  <c r="K23" i="6"/>
  <c r="K22" i="6"/>
  <c r="J22" i="6"/>
  <c r="D22" i="6" s="1"/>
  <c r="K19" i="6"/>
  <c r="D19" i="6" s="1"/>
  <c r="J19" i="6"/>
  <c r="J14" i="6"/>
  <c r="H18" i="6"/>
  <c r="K18" i="6" s="1"/>
  <c r="H14" i="6"/>
  <c r="C14" i="6" s="1"/>
  <c r="H21" i="6"/>
  <c r="H7" i="6"/>
  <c r="K7" i="6" s="1"/>
  <c r="H19" i="6"/>
  <c r="C19" i="6" s="1"/>
  <c r="G18" i="6"/>
  <c r="C18" i="6" s="1"/>
  <c r="H22" i="6"/>
  <c r="G22" i="6"/>
  <c r="C22" i="6" s="1"/>
  <c r="H23" i="6"/>
  <c r="G23" i="6"/>
  <c r="J23" i="6" s="1"/>
  <c r="D23" i="6" s="1"/>
  <c r="G21" i="6"/>
  <c r="K14" i="6" l="1"/>
  <c r="C23" i="6"/>
  <c r="J18" i="6"/>
  <c r="G15" i="6"/>
  <c r="H10" i="6"/>
  <c r="K10" i="6" s="1"/>
  <c r="H9" i="6"/>
  <c r="K9" i="6" s="1"/>
  <c r="G9" i="6"/>
  <c r="G10" i="6"/>
  <c r="H4" i="6"/>
  <c r="K4" i="6" s="1"/>
  <c r="G4" i="6"/>
  <c r="G7" i="6"/>
  <c r="F3" i="5"/>
  <c r="F2" i="5"/>
  <c r="C4" i="6" l="1"/>
  <c r="J4" i="6"/>
  <c r="D4" i="6" s="1"/>
  <c r="C9" i="6"/>
  <c r="J9" i="6"/>
  <c r="D9" i="6" s="1"/>
  <c r="C10" i="6"/>
  <c r="J10" i="6"/>
  <c r="D10" i="6" s="1"/>
  <c r="D14" i="6"/>
  <c r="J7" i="6"/>
  <c r="D7" i="6" s="1"/>
  <c r="C7" i="6"/>
  <c r="D18" i="6"/>
  <c r="J17" i="3" l="1"/>
  <c r="I17" i="3"/>
  <c r="J40" i="3"/>
  <c r="I40" i="3"/>
  <c r="J35" i="3"/>
  <c r="I35" i="3"/>
  <c r="J30" i="3"/>
  <c r="I30" i="3"/>
  <c r="J23" i="3"/>
  <c r="I23" i="3"/>
  <c r="J12" i="3"/>
  <c r="I12" i="3"/>
  <c r="I75" i="3" l="1"/>
  <c r="J75" i="3"/>
  <c r="L18" i="3"/>
  <c r="M18" i="3" s="1"/>
  <c r="G40" i="3"/>
  <c r="H30" i="3"/>
  <c r="G30" i="3"/>
  <c r="H23" i="3"/>
  <c r="G23" i="3"/>
  <c r="H17" i="3"/>
  <c r="H5" i="6" s="1"/>
  <c r="K5" i="6" s="1"/>
  <c r="K27" i="6" s="1"/>
  <c r="G17" i="3"/>
  <c r="G5" i="6" s="1"/>
  <c r="H12" i="3"/>
  <c r="G12" i="3"/>
  <c r="L33" i="3"/>
  <c r="C5" i="6" l="1"/>
  <c r="J5" i="6"/>
  <c r="G27" i="6"/>
  <c r="H40" i="3"/>
  <c r="D5" i="6" l="1"/>
  <c r="D27" i="6" s="1"/>
  <c r="D29" i="6" s="1"/>
  <c r="J27" i="6"/>
  <c r="N31" i="3"/>
  <c r="H31" i="3"/>
  <c r="H15" i="6" s="1"/>
  <c r="C15" i="6" l="1"/>
  <c r="C27" i="6" s="1"/>
  <c r="C29" i="6" s="1"/>
  <c r="H27" i="6"/>
  <c r="H29" i="6" s="1"/>
  <c r="L31" i="3"/>
  <c r="L35" i="3" s="1"/>
  <c r="G35" i="3"/>
  <c r="G75" i="3" s="1"/>
  <c r="M31" i="3"/>
  <c r="H35" i="3"/>
  <c r="H75" i="3" s="1"/>
  <c r="M37" i="3"/>
  <c r="N38" i="3"/>
  <c r="M38" i="3"/>
  <c r="N36" i="3"/>
  <c r="M36" i="3"/>
  <c r="N16" i="3"/>
  <c r="M16" i="3"/>
  <c r="L16" i="3"/>
  <c r="N15" i="3"/>
  <c r="M15" i="3"/>
  <c r="L15" i="3"/>
  <c r="I77" i="3" l="1"/>
  <c r="D2" i="5"/>
  <c r="J77" i="3"/>
  <c r="D3" i="5"/>
  <c r="N33" i="3"/>
  <c r="N35" i="3" s="1"/>
  <c r="M33" i="3"/>
  <c r="M35" i="3" s="1"/>
  <c r="N40" i="3"/>
  <c r="M40" i="3"/>
  <c r="L40" i="3"/>
  <c r="N29" i="3"/>
  <c r="M29" i="3"/>
  <c r="L29" i="3"/>
  <c r="N24" i="3"/>
  <c r="M24" i="3"/>
  <c r="L24" i="3"/>
  <c r="N14" i="3"/>
  <c r="N17" i="3" s="1"/>
  <c r="M14" i="3"/>
  <c r="M17" i="3" s="1"/>
  <c r="L14" i="3"/>
  <c r="L17" i="3" s="1"/>
  <c r="N19" i="3"/>
  <c r="M19" i="3"/>
  <c r="L19" i="3"/>
  <c r="N18" i="3"/>
  <c r="N46" i="3"/>
  <c r="M46" i="3"/>
  <c r="L46" i="3"/>
  <c r="N45" i="3"/>
  <c r="M45" i="3"/>
  <c r="L45" i="3"/>
  <c r="N44" i="3"/>
  <c r="M44" i="3"/>
  <c r="L44" i="3"/>
  <c r="N43" i="3"/>
  <c r="M43" i="3"/>
  <c r="L43" i="3"/>
  <c r="N42" i="3"/>
  <c r="M42" i="3"/>
  <c r="L42" i="3"/>
  <c r="N41" i="3"/>
  <c r="M41" i="3"/>
  <c r="L41" i="3"/>
  <c r="N11" i="3"/>
  <c r="M11" i="3"/>
  <c r="L11" i="3"/>
  <c r="L10" i="3"/>
  <c r="N9" i="3"/>
  <c r="M9" i="3"/>
  <c r="L9" i="3"/>
  <c r="N8" i="3"/>
  <c r="M8" i="3"/>
  <c r="L8" i="3"/>
  <c r="N7" i="3"/>
  <c r="M7" i="3"/>
  <c r="L7" i="3"/>
  <c r="N6" i="3"/>
  <c r="M6" i="3"/>
  <c r="L6" i="3"/>
  <c r="E3" i="5" l="1"/>
  <c r="L30" i="3"/>
  <c r="M30" i="3"/>
  <c r="N30" i="3"/>
  <c r="L12" i="3"/>
  <c r="M23" i="3"/>
  <c r="N12" i="3"/>
  <c r="M12" i="3"/>
  <c r="L23" i="3"/>
  <c r="N23" i="3"/>
  <c r="N75" i="3" l="1"/>
  <c r="L75" i="3"/>
  <c r="M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Eko Yudianto</author>
    <author>John Noreiks</author>
  </authors>
  <commentList>
    <comment ref="G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TTD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TTD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TTD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TTD</t>
        </r>
      </text>
    </comment>
    <comment ref="L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any costs for this are captured in DP</t>
        </r>
      </text>
    </comment>
    <comment ref="L9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captured in DP costs</t>
        </r>
      </text>
    </comment>
    <comment ref="G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Eko Yudianto: cost of PSC / total purchases at DN = 0.37%</t>
        </r>
      </text>
    </comment>
    <comment ref="H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I1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Eko Yudianto: cost of PSC / total purchases at DN = 0.37%</t>
        </r>
      </text>
    </comment>
    <comment ref="J1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H1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avg between HL and LL</t>
        </r>
      </text>
    </comment>
    <comment ref="J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avg between HL and LL</t>
        </r>
      </text>
    </comment>
    <comment ref="G1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cannot split LL and DDP. Might be less in reality</t>
        </r>
      </text>
    </comment>
    <comment ref="I16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cannot split LL and DDP. Might be less in reality</t>
        </r>
      </text>
    </comment>
    <comment ref="L18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avg across site applied</t>
        </r>
      </text>
    </comment>
    <comment ref="G1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H1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I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J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G24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PTFI are supposed to be doing the freight</t>
        </r>
      </text>
    </comment>
    <comment ref="I24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PTFI are supposed to be doing the freight</t>
        </r>
      </text>
    </comment>
    <comment ref="L2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TU doing this when it should be a PTFI Cost. For now roll into CBI model.</t>
        </r>
      </text>
    </comment>
    <comment ref="G32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John Noreiks:
= 4% x ( 3/12 ) 3 being target financial turnover</t>
        </r>
      </text>
    </comment>
    <comment ref="H32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John Noreiks:
= 4% x ( 3/12 ) 3 being target financial turnover</t>
        </r>
      </text>
    </comment>
    <comment ref="I32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John Noreiks:
= 4% x ( 3/12 ) 3 being target financial turnover</t>
        </r>
      </text>
    </comment>
    <comment ref="J32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John Noreiks:
= 4% x ( 3/12 ) 3 being target financial turnover</t>
        </r>
      </text>
    </comment>
    <comment ref="E33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4%</t>
        </r>
      </text>
    </comment>
    <comment ref="G33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recalculate</t>
        </r>
      </text>
    </comment>
    <comment ref="I33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recalculate</t>
        </r>
      </text>
    </comment>
    <comment ref="G4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H46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Eko Yudianto:</t>
        </r>
        <r>
          <rPr>
            <sz val="9"/>
            <color indexed="81"/>
            <rFont val="Tahoma"/>
            <family val="2"/>
          </rPr>
          <t xml:space="preserve">
Compare to purchase of PTTU</t>
        </r>
      </text>
    </comment>
    <comment ref="G59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Currency Risk is 4% for 12 months</t>
        </r>
      </text>
    </comment>
    <comment ref="K5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John Noreiks:
= 4% x ( 3/12 ) 3 being target financial turnover</t>
        </r>
      </text>
    </comment>
    <comment ref="K60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= 2.6% / ( 3/12 )</t>
        </r>
      </text>
    </comment>
    <comment ref="F61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applied same as country risk ( 2 x 2.6% / TO )</t>
        </r>
      </text>
    </comment>
    <comment ref="F62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John Noreiks:</t>
        </r>
        <r>
          <rPr>
            <sz val="9"/>
            <color indexed="81"/>
            <rFont val="Tahoma"/>
            <family val="2"/>
          </rPr>
          <t xml:space="preserve">
applied same as country risk ( 2 x 2.6% / TO 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Noreiks</author>
  </authors>
  <commentList>
    <comment ref="J21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John Noreiks:</t>
        </r>
        <r>
          <rPr>
            <sz val="9"/>
            <color indexed="81"/>
            <rFont val="Tahoma"/>
            <charset val="1"/>
          </rPr>
          <t xml:space="preserve">
= 10.29% ( IDR cost of funds ) div 30 days ( time for receipt in Sin, ship to SBY and receive by PTFI in SBY ).</t>
        </r>
      </text>
    </comment>
    <comment ref="K21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John Noreiks:</t>
        </r>
        <r>
          <rPr>
            <sz val="9"/>
            <color indexed="81"/>
            <rFont val="Tahoma"/>
            <charset val="1"/>
          </rPr>
          <t xml:space="preserve">
= 10.29% ( iDR cost of funds ) div agreed hoistorical inventory TO. ( 2.5 for interim until Eko provides data fr last 4 years )</t>
        </r>
      </text>
    </comment>
  </commentList>
</comments>
</file>

<file path=xl/sharedStrings.xml><?xml version="1.0" encoding="utf-8"?>
<sst xmlns="http://schemas.openxmlformats.org/spreadsheetml/2006/main" count="497" uniqueCount="233">
  <si>
    <t>Section</t>
  </si>
  <si>
    <t>CBI Category</t>
  </si>
  <si>
    <t>CBI Element</t>
  </si>
  <si>
    <t>Element Description</t>
  </si>
  <si>
    <t>Freeport DDP</t>
  </si>
  <si>
    <t>Freeport DP</t>
  </si>
  <si>
    <t>Vale</t>
  </si>
  <si>
    <t>Remark</t>
  </si>
  <si>
    <t>Non-CBI Elements</t>
  </si>
  <si>
    <t>US Capital Cost, Labor and Inflation Rates</t>
  </si>
  <si>
    <t>Inventory Carrying Costs</t>
  </si>
  <si>
    <t>Capital and Depreciation associated with holding inventory</t>
  </si>
  <si>
    <t>Direct Parts and Logistics Personnel Costs</t>
  </si>
  <si>
    <t>Direct Labor costs associated with the sale, distribution, customer support and stocking of Caterpillar parts in service territory</t>
  </si>
  <si>
    <t>Supply Chain Overheads</t>
  </si>
  <si>
    <t>Costs associated with supplying parts that cannot be directly attributed to any specific activity related to a defined customer for aftermarket parts</t>
  </si>
  <si>
    <t>Capital costs</t>
  </si>
  <si>
    <t>Fixed, one-time expenses incurred on the purchase of land, buildings, construction, and equipment used in the production or delivery of goods.</t>
  </si>
  <si>
    <t>"Standard" Infrastructure</t>
  </si>
  <si>
    <t>Parts Warehousing &amp; Associated Costs</t>
  </si>
  <si>
    <t>Regional inventory/stocking of aftermarket parts including associated Equipment and IT infrastructure</t>
  </si>
  <si>
    <t>Direct Inventory Related Costs</t>
  </si>
  <si>
    <t>Direct costs associated with obsolescence, Insurance and damage</t>
  </si>
  <si>
    <t>Logistics, Inventory Management</t>
  </si>
  <si>
    <t>Supervises the flow of non capitalized assets (inventory) from manufacturers to warehouses and from these facilities to point of sale.</t>
  </si>
  <si>
    <t>CBI Core Elements</t>
  </si>
  <si>
    <t>Transportation &amp; Logistics Costs</t>
  </si>
  <si>
    <t>Freight, insurance &amp; handling</t>
  </si>
  <si>
    <t>Incremental costs, including packaging and labeling, of transporting and insurance coverage of goods in bulk during shipment</t>
  </si>
  <si>
    <t>Insurance + Misc</t>
  </si>
  <si>
    <t>International logistics</t>
  </si>
  <si>
    <t>Transport from US port of shipment to port of destination</t>
  </si>
  <si>
    <t>Import Charge</t>
  </si>
  <si>
    <t>In-country logistics to dealer</t>
  </si>
  <si>
    <t>Transport from port of destination to dealer warehouse including handling</t>
  </si>
  <si>
    <t>International inbound</t>
  </si>
  <si>
    <t>In-country logistics to mine site</t>
  </si>
  <si>
    <t>Transport from dealer warehouse to mine site</t>
  </si>
  <si>
    <t>Local Inbound</t>
  </si>
  <si>
    <t>Importation / Compliance Costs</t>
  </si>
  <si>
    <t>Duties, taxes &amp; custom expenses</t>
  </si>
  <si>
    <t>Duties, Taxes, Inspection, Clearance, import tariffs and other associated costs</t>
  </si>
  <si>
    <t>Custom Duty</t>
  </si>
  <si>
    <t>Incremental costs to offset regulations</t>
  </si>
  <si>
    <t>Incremental costs to offset regulations (E.g. temporary tariffs, permit costs)</t>
  </si>
  <si>
    <t>Import restrictions requiring local sourcing</t>
  </si>
  <si>
    <t>Incremental dealer costs for alternative supply of aftermarket parts in country due to importation restrictions in local country</t>
  </si>
  <si>
    <t xml:space="preserve">                                     - </t>
  </si>
  <si>
    <t xml:space="preserve">                                     - </t>
  </si>
  <si>
    <t xml:space="preserve">                                          - </t>
  </si>
  <si>
    <t>Country Factors</t>
  </si>
  <si>
    <t>Currency Exchange Risk</t>
  </si>
  <si>
    <t>Costs resulting from currency/exchange rate risks (e.g. hedging costs).  Do not recommend to include actual exchange rate calculations within the CBI</t>
  </si>
  <si>
    <t>Country Risk</t>
  </si>
  <si>
    <t>Costs resulting from country-specific risks (e.g. economic risk, political risk)</t>
  </si>
  <si>
    <t>Other Dealer Specific Elements</t>
  </si>
  <si>
    <t>Other incremental dealer costs not included in the above</t>
  </si>
  <si>
    <t>Incremental Costs for "Standard" Infrastructure, Labor and Other</t>
  </si>
  <si>
    <t>Incremental Costs for "Standard" Infrastructure, Labor and Other (i.e. non-CBI Elements above)</t>
  </si>
  <si>
    <t>Demonstrated Incremental costs over an average US dealer of any Non-CBI element considering Ex Works Morton INCO terms</t>
  </si>
  <si>
    <t>Direct Labor costs - Counter, Service, Warehouse, Courier</t>
  </si>
  <si>
    <t>Overhead of PSC Head Office</t>
  </si>
  <si>
    <t>IT Cost related to Warehouse</t>
  </si>
  <si>
    <t>Capex Warehouse (land, building, handling  and storage equipment, vehicle)</t>
  </si>
  <si>
    <t>Inventory adjustment (damage, missing) and insurance</t>
  </si>
  <si>
    <t>Rental warehouse, utilities, building depreciation</t>
  </si>
  <si>
    <t>Overhead of Parts Operation Area Office</t>
  </si>
  <si>
    <t>Cost of survey, import permit fee</t>
  </si>
  <si>
    <t>0</t>
  </si>
  <si>
    <t>0,06%</t>
  </si>
  <si>
    <t>1,27%</t>
  </si>
  <si>
    <t>5,1%</t>
  </si>
  <si>
    <t>1,47%</t>
  </si>
  <si>
    <t>7,19%</t>
  </si>
  <si>
    <t>2,64%</t>
  </si>
  <si>
    <t>0,03%</t>
  </si>
  <si>
    <t>1,14%</t>
  </si>
  <si>
    <t>5,18%</t>
  </si>
  <si>
    <t>1,45%</t>
  </si>
  <si>
    <t>6,4%</t>
  </si>
  <si>
    <t>0,61%</t>
  </si>
  <si>
    <t>5,21%</t>
  </si>
  <si>
    <t>7,74%</t>
  </si>
  <si>
    <t>PTTU</t>
  </si>
  <si>
    <t>East Ind</t>
  </si>
  <si>
    <t>YTD Purchase Val - USD</t>
  </si>
  <si>
    <t>Cat Charges Ex Singapore</t>
  </si>
  <si>
    <t xml:space="preserve">Factors Added to CL  </t>
  </si>
  <si>
    <t>VALE</t>
  </si>
  <si>
    <t xml:space="preserve"> </t>
  </si>
  <si>
    <t>Cat Standard Model for North America with 11 Distribution Centres</t>
  </si>
  <si>
    <t>Specific Add Charges from Cat Singapore</t>
  </si>
  <si>
    <t xml:space="preserve">Indonesian Gov Compliance as part of importantion including inbound freight </t>
  </si>
  <si>
    <t>Dealer Specific Items</t>
  </si>
  <si>
    <t>General Country Factors</t>
  </si>
  <si>
    <t xml:space="preserve">Dealer specific </t>
  </si>
  <si>
    <t>Site Speciic Inventories</t>
  </si>
  <si>
    <t>Cost of Inventory</t>
  </si>
  <si>
    <t>Lower Turnover Ratios ( 3 FTO v's 6 FTO )</t>
  </si>
  <si>
    <t>Cat Charges ex Singapore to TU</t>
  </si>
  <si>
    <t>Yes</t>
  </si>
  <si>
    <t>Govt Compliance&amp; Related Charges</t>
  </si>
  <si>
    <t>Iron &amp; Steel Surveying Costs</t>
  </si>
  <si>
    <t>Costs resulting from currency/exchange rate risks (e.g. hedging costs).  Do not recommend to include actual exchange rate calculations within the CBI</t>
  </si>
  <si>
    <t>Contry Factors</t>
  </si>
  <si>
    <t>Location Risk</t>
  </si>
  <si>
    <t>Inventory dedicated to one customer. Local unrest means at times inventory does not turn over.</t>
  </si>
  <si>
    <t>No</t>
  </si>
  <si>
    <t>Payment Risk</t>
  </si>
  <si>
    <t xml:space="preserve">AR Issue - cost of carrying funds on an average 30-60 days longer than US </t>
  </si>
  <si>
    <t>Dealer Specific Factors including Cost not covered in Base CBI</t>
  </si>
  <si>
    <t>Incremental Costs for Above Base CBI</t>
  </si>
  <si>
    <t>Inventory cost of Funding</t>
  </si>
  <si>
    <t>Dedicated Facility for one customer</t>
  </si>
  <si>
    <t>Inventory deterioration and greater obcelesence</t>
  </si>
  <si>
    <t>Interbranch Transfers</t>
  </si>
  <si>
    <t>US Int rates v's IDR Rates</t>
  </si>
  <si>
    <t>Costs resulting from higher borrowing costs in IDR v's USD Rates ( in the US )</t>
  </si>
  <si>
    <t>Total to add to CL</t>
  </si>
  <si>
    <t>Site Specific Facility</t>
  </si>
  <si>
    <t>Cost of Facility</t>
  </si>
  <si>
    <t>Cat - Import Charge</t>
  </si>
  <si>
    <t>Validate DDP cost</t>
  </si>
  <si>
    <t>Site Specific Costs</t>
  </si>
  <si>
    <t xml:space="preserve">1% greater than a US Dealer </t>
  </si>
  <si>
    <t>Cat Transportation &amp; Logistics Costs</t>
  </si>
  <si>
    <t>Cat Import Charge levied in Singapore</t>
  </si>
  <si>
    <t>Cat Service Charge levied in Singapore</t>
  </si>
  <si>
    <t>Cat Emergency Supply Charges ex Sin</t>
  </si>
  <si>
    <t>Direct Supply</t>
  </si>
  <si>
    <t>Ex Stock</t>
  </si>
  <si>
    <t>Eko To Do List from JN</t>
  </si>
  <si>
    <t>Confirm that $374,158 is correct. Last 3 years historical purchases as a reference for correct % due to 2019 spend too low</t>
  </si>
  <si>
    <t>Need to go back over last 3 years to confirm if these numbers are ok as a % of spend</t>
  </si>
  <si>
    <t>Valid Reasons for each charge</t>
  </si>
  <si>
    <t>Westrac Model ( Similar Parts Sale Volume but with 1 x Large Distribution in Perth )</t>
  </si>
  <si>
    <t>One major source of Direct Labour Costs</t>
  </si>
  <si>
    <t>Multiple Sources of Direct Labour Costs including Large Sites like Freeport</t>
  </si>
  <si>
    <t>One major source of an Overall Parts Management Team</t>
  </si>
  <si>
    <t>Multiple Sources of Parts Management Teams including Large Sites like Freeport</t>
  </si>
  <si>
    <t>Confirm that $215,513 is correct. Last 3 years historical purchases as a reference for correct % due to 2019 spend too low. DDP sould be less.</t>
  </si>
  <si>
    <t>One major source of an Overall Parts IT Requirements</t>
  </si>
  <si>
    <t>Multiple Sources of Parts IT Requirements including Large Sites like Freeport</t>
  </si>
  <si>
    <t>Addressed in Dealer Specific Group</t>
  </si>
  <si>
    <t>Not required as completed by Cat Australia</t>
  </si>
  <si>
    <t>Extra costs above std model due to Management Team for Importation, Pricing and Distribution</t>
  </si>
  <si>
    <t>Should vary as a % of overall spend/purchases. Cannot be the same for all.</t>
  </si>
  <si>
    <t>Cat - Service Charge only for non stock. Should recover thru 7% Emergency Surcharge</t>
  </si>
  <si>
    <t>Update B03A logic and how charged</t>
  </si>
  <si>
    <t>Applicable over and above Singapore charges</t>
  </si>
  <si>
    <t>Not required in Australia</t>
  </si>
  <si>
    <t xml:space="preserve">0.3% how does this relate to parts volumes???? </t>
  </si>
  <si>
    <t>Freight &amp; Handling</t>
  </si>
  <si>
    <t>General Country Risk Factor</t>
  </si>
  <si>
    <t>Cost of IDR Hedge</t>
  </si>
  <si>
    <t>Cost of funding difference between USD and IDR Funding</t>
  </si>
  <si>
    <t>One Major Distribution Centre. Higher Inventory turns. Supported from MDC much easier &amp; simpler than ADC. ADC performance lags MDC</t>
  </si>
  <si>
    <t>JN to review with Finance</t>
  </si>
  <si>
    <t>Higher cost of business. Less Turns at higher cost of funds. Even more so where high levels of protective stock is held.</t>
  </si>
  <si>
    <t>USD Payment Terms</t>
  </si>
  <si>
    <t>Explanation of Cost Allocation for this Category</t>
  </si>
  <si>
    <t>Direct Labor costs at site  - DDP Counter Only / DP counter, warehousing etc. These are customer specific costs for the location. Calculation is actual costs / total purchases @ CL</t>
  </si>
  <si>
    <t>Overhead (Indirect Costs ) of Parts Operations Office for Site. These are customer specific costs for the location. Calculation is actual costs / total purchases @ CL</t>
  </si>
  <si>
    <t>Minor Opex for Warehouse &amp; Parts Operations. (land, building, handling  and storage equipment, vehicle)</t>
  </si>
  <si>
    <t>Recheck calcs to reflect % of DN</t>
  </si>
  <si>
    <t xml:space="preserve">IT Cost related to Site Warehouse &amp; Parts Operations </t>
  </si>
  <si>
    <t>Overhead of Parts Supply Chain Head Office. Import/Export of parts, Parts Pricing Mgmt + Distribution Mgmt.</t>
  </si>
  <si>
    <t xml:space="preserve">Costs above STD Cat assumptions for the Dealer </t>
  </si>
  <si>
    <t xml:space="preserve">Map of Indonesia showing Branches and Hubs. Highlight Major Mining Branches and KK specifically. Cat to compare this v's a normal dealer ( Westrac ) with 1 x  Mega Hub and 1 x overall Parts Operation mgmt team. </t>
  </si>
  <si>
    <t>Service Charge for DP Channel only</t>
  </si>
  <si>
    <t>Cat levied charges in Sinagpore additional to DN charge</t>
  </si>
  <si>
    <t>Cost of survey ( Iron &amp; Steel )  import permit fee.</t>
  </si>
  <si>
    <t>GOI compliance and importation</t>
  </si>
  <si>
    <t xml:space="preserve">DDP &amp; DP needs to show Sin to SBY </t>
  </si>
  <si>
    <t>DDP &amp; DP needs to show SBY to Timika</t>
  </si>
  <si>
    <t>Transport from port of Singapore to dealer receiving HUB ( Indonesian Customs Clearance point )</t>
  </si>
  <si>
    <t>Inbound Freight &amp; Handling</t>
  </si>
  <si>
    <t xml:space="preserve"> Insurance &amp; handling</t>
  </si>
  <si>
    <t>Table from Januar</t>
  </si>
  <si>
    <t>Country Risk at 2.64% overall applied based on inventory turns of 3 for DP. For DDP it is transit time from Singapore to Timika. ( 1/12 )</t>
  </si>
  <si>
    <t>PTFI continue to pay in USD so no Currency Hedge</t>
  </si>
  <si>
    <t>Cost of Inventory Funding</t>
  </si>
  <si>
    <r>
      <t>Indonesia</t>
    </r>
    <r>
      <rPr>
        <sz val="12"/>
        <color rgb="FF222222"/>
        <rFont val="Arial"/>
        <family val="2"/>
      </rPr>
      <t> Bank </t>
    </r>
    <r>
      <rPr>
        <b/>
        <sz val="12"/>
        <color rgb="FF222222"/>
        <rFont val="Arial"/>
        <family val="2"/>
      </rPr>
      <t>Lending Rate</t>
    </r>
    <r>
      <rPr>
        <sz val="12"/>
        <color rgb="FF222222"/>
        <rFont val="Arial"/>
        <family val="2"/>
      </rPr>
      <t>. </t>
    </r>
    <r>
      <rPr>
        <b/>
        <sz val="12"/>
        <color rgb="FF222222"/>
        <rFont val="Arial"/>
        <family val="2"/>
      </rPr>
      <t>Indonesia's</t>
    </r>
    <r>
      <rPr>
        <sz val="12"/>
        <color rgb="FF222222"/>
        <rFont val="Arial"/>
        <family val="2"/>
      </rPr>
      <t> Bank </t>
    </r>
    <r>
      <rPr>
        <b/>
        <sz val="12"/>
        <color rgb="FF222222"/>
        <rFont val="Arial"/>
        <family val="2"/>
      </rPr>
      <t>Lending Rate</t>
    </r>
    <r>
      <rPr>
        <sz val="12"/>
        <color rgb="FF222222"/>
        <rFont val="Arial"/>
        <family val="2"/>
      </rPr>
      <t> was reported at 10.290 % pa in Sep 2019. This records a decrease from the previous number of 10.360 % pa for Aug 2019.</t>
    </r>
  </si>
  <si>
    <r>
      <t>LIBOR</t>
    </r>
    <r>
      <rPr>
        <sz val="12"/>
        <color rgb="FF222222"/>
        <rFont val="Arial"/>
        <family val="2"/>
      </rPr>
      <t> is the most widely used global "benchmark" or reference </t>
    </r>
    <r>
      <rPr>
        <b/>
        <sz val="12"/>
        <color rgb="FF222222"/>
        <rFont val="Arial"/>
        <family val="2"/>
      </rPr>
      <t>rate</t>
    </r>
    <r>
      <rPr>
        <sz val="12"/>
        <color rgb="FF222222"/>
        <rFont val="Arial"/>
        <family val="2"/>
      </rPr>
      <t> for short term interest </t>
    </r>
    <r>
      <rPr>
        <b/>
        <sz val="12"/>
        <color rgb="FF222222"/>
        <rFont val="Arial"/>
        <family val="2"/>
      </rPr>
      <t>rates</t>
    </r>
    <r>
      <rPr>
        <sz val="12"/>
        <color rgb="FF222222"/>
        <rFont val="Arial"/>
        <family val="2"/>
      </rPr>
      <t>. The current 1 year </t>
    </r>
    <r>
      <rPr>
        <b/>
        <sz val="12"/>
        <color rgb="FF222222"/>
        <rFont val="Arial"/>
        <family val="2"/>
      </rPr>
      <t>LIBOR rate</t>
    </r>
    <r>
      <rPr>
        <sz val="12"/>
        <color rgb="FF222222"/>
        <rFont val="Arial"/>
        <family val="2"/>
      </rPr>
      <t> as of November 15, </t>
    </r>
    <r>
      <rPr>
        <b/>
        <sz val="12"/>
        <color rgb="FF222222"/>
        <rFont val="Arial"/>
        <family val="2"/>
      </rPr>
      <t>2019</t>
    </r>
    <r>
      <rPr>
        <sz val="12"/>
        <color rgb="FF222222"/>
        <rFont val="Arial"/>
        <family val="2"/>
      </rPr>
      <t> is 1.96%.</t>
    </r>
  </si>
  <si>
    <t>Commercial Rates for borrowing funds in Indonesia is 10.29%. Commercial Rates for borrowing funds in the USD is LIBOR + 2%. Delta is 6.33%. DP is div by 3 TO and DP is div by 12 ( 30 days shipping time from Singapore to site )</t>
  </si>
  <si>
    <t>6.33% Delta in IDR Commercial Rates and lower TO of inventory due to Indonesian Mining Site Based business model. US Dealer 6 TO and Trakindo 3 TO ( 3 TO may not be achieveable and an adjustment needs to be made )</t>
  </si>
  <si>
    <t>Do we know ( actually ) what we have on site that is non returnable, deteriorates annually, wasted inventory that we cannot sell )</t>
  </si>
  <si>
    <t>Cost as a % may vary depending purchase volumes</t>
  </si>
  <si>
    <t>Inventory adjustment (damage, missing) Costs built into Std Cat Profitability Model</t>
  </si>
  <si>
    <t>Eko to work on details to support the % value</t>
  </si>
  <si>
    <t>To Do List 27 Nov 2019</t>
  </si>
  <si>
    <t>Proportioned for HO PSC Costs as a % of sales. Fixed proportion charge.</t>
  </si>
  <si>
    <t>Segment DDP out from DP LL's and HL's via separate plan ( store code ) for DDP. This will take time and revisit when enough data is available</t>
  </si>
  <si>
    <t>Flat Charge ( PLB chareg in country )</t>
  </si>
  <si>
    <t>How do we segment DDP from DP. Eko to provide details.</t>
  </si>
  <si>
    <t>Eko to confirm DDP parts are invoiced at SBY. Days Duration from Cat Sin to SBY from Eko.</t>
  </si>
  <si>
    <t>1.5% of annual parts sales at to payback site investment. ( Risk is if customer see it is in their parts CBI then they would assume they own the assets )</t>
  </si>
  <si>
    <t>International inbound - Singapore to Surabaya. Includes F&amp;H in SBY to PTFI Holding location. Includes Jakarta to Sby for surveyed items.</t>
  </si>
  <si>
    <t>Freeport DDP - Stock Order</t>
  </si>
  <si>
    <t>Freeport DP - Stock Orders</t>
  </si>
  <si>
    <t>Freeport DP - Emergenc Orders</t>
  </si>
  <si>
    <t>Freeport DDP - Emergency Orders</t>
  </si>
  <si>
    <t>Direct Stock Supply</t>
  </si>
  <si>
    <t>Direct Emergency Supply</t>
  </si>
  <si>
    <t>DP Emergency Supply</t>
  </si>
  <si>
    <t>Intl Outbound ( returns to Cat )</t>
  </si>
  <si>
    <t>BO3A for DP channel ( Included in Service Charge )</t>
  </si>
  <si>
    <t>Eko - Reconfirm via Org Chart / People alignment</t>
  </si>
  <si>
    <t>Import Charge from Cat in Singapore. ( all stock orders )</t>
  </si>
  <si>
    <t>Eko - Ask site operations people do we require Stores 49/50/60 with 1 parts factor on site. Can 1 work?</t>
  </si>
  <si>
    <t xml:space="preserve">Antonio - Segment DDP out from DP LL's and HL's. If one store cannot be freed up from the 3 then apply for a new store (Plan) for DDP only </t>
  </si>
  <si>
    <t>Indra to confirm F&amp;H as per email</t>
  </si>
  <si>
    <t>Eko to provide actual details</t>
  </si>
  <si>
    <t>Antonio to recheck logic</t>
  </si>
  <si>
    <t>Domestic inbound - Surabaya to Timika ( PTFI are doing this for both streams for stock shipments and no charge to PTTU ). Intent is that Cost of Emergency orders should covered by the 7% surcharge or if we move to an Emergency CBI.</t>
  </si>
  <si>
    <t>Domestic F&amp;H Inbound ( TU Team to finalise explanation of this value )</t>
  </si>
  <si>
    <t>Local Outbound ( Return to Cat )</t>
  </si>
  <si>
    <t xml:space="preserve">      Country cost (Facilities, resources etc - relative to US)</t>
  </si>
  <si>
    <t>Security Risk</t>
  </si>
  <si>
    <t>Incremental Costs for Infrastructure, Labor and Other</t>
  </si>
  <si>
    <t>Parts Warehousing &amp; Associated Costs (Equipment, IT infrastructure, customer support)</t>
  </si>
  <si>
    <t>Direct Inventory Related Costs (Obsolesence, Insurance and Damage)</t>
  </si>
  <si>
    <t>Inventory Carrying Costs (Capital, Depreciation, Etc)</t>
  </si>
  <si>
    <t>Payment Terms</t>
  </si>
  <si>
    <t>Total Costs</t>
  </si>
  <si>
    <t>Cost Build Up Index Over Reference</t>
  </si>
  <si>
    <t>Trakindo</t>
  </si>
  <si>
    <t>Indonesia</t>
  </si>
  <si>
    <t>No currency risk as transactions are in USD</t>
  </si>
  <si>
    <t>Doube counting of inventry holding cost for DP Freeport</t>
  </si>
  <si>
    <t>Cat Alternative</t>
  </si>
  <si>
    <t>Country risk should be the same and not based on cost of funds, average CDS 10 yr 1.56</t>
  </si>
  <si>
    <t>Peter Docherty comments - possible this should be the same?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</si>
</sst>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  <numFmt numFmtId="166" formatCode="_-* #,##0.000_-;\-* #,##0.000_-;_-* &quot;-&quot;_-;_-@_-"/>
    <numFmt numFmtId="167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SimonKuche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164" fontId="0" fillId="0" borderId="0" xfId="1" applyNumberFormat="1" applyFont="1" applyAlignment="1">
      <alignment horizontal="center"/>
    </xf>
    <xf numFmtId="41" fontId="0" fillId="0" borderId="0" xfId="0" applyNumberFormat="1"/>
    <xf numFmtId="0" fontId="2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41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1" fontId="4" fillId="4" borderId="1" xfId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vertical="center" wrapText="1"/>
    </xf>
    <xf numFmtId="0" fontId="0" fillId="0" borderId="1" xfId="0" applyBorder="1"/>
    <xf numFmtId="41" fontId="0" fillId="0" borderId="1" xfId="1" applyFont="1" applyBorder="1"/>
    <xf numFmtId="0" fontId="5" fillId="5" borderId="1" xfId="0" applyFont="1" applyFill="1" applyBorder="1"/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10" fontId="0" fillId="0" borderId="1" xfId="2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10" fontId="3" fillId="6" borderId="1" xfId="2" applyNumberFormat="1" applyFont="1" applyFill="1" applyBorder="1" applyAlignment="1">
      <alignment horizontal="center" vertical="center" wrapText="1"/>
    </xf>
    <xf numFmtId="4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0" fontId="3" fillId="7" borderId="1" xfId="2" applyNumberFormat="1" applyFont="1" applyFill="1" applyBorder="1" applyAlignment="1">
      <alignment horizontal="center" vertical="center" wrapText="1"/>
    </xf>
    <xf numFmtId="4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10" fontId="3" fillId="10" borderId="1" xfId="2" applyNumberFormat="1" applyFont="1" applyFill="1" applyBorder="1" applyAlignment="1">
      <alignment horizontal="center" vertical="center" wrapText="1"/>
    </xf>
    <xf numFmtId="41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4" borderId="1" xfId="2" applyNumberFormat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horizontal="center" vertical="center" wrapText="1"/>
    </xf>
    <xf numFmtId="41" fontId="4" fillId="8" borderId="1" xfId="1" applyNumberFormat="1" applyFont="1" applyFill="1" applyBorder="1" applyAlignment="1">
      <alignment horizontal="center" vertical="center" wrapText="1"/>
    </xf>
    <xf numFmtId="41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center" wrapText="1"/>
    </xf>
    <xf numFmtId="10" fontId="0" fillId="9" borderId="1" xfId="0" applyNumberFormat="1" applyFont="1" applyFill="1" applyBorder="1" applyAlignment="1">
      <alignment horizontal="center" vertical="center"/>
    </xf>
    <xf numFmtId="10" fontId="0" fillId="9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/>
    </xf>
    <xf numFmtId="10" fontId="3" fillId="9" borderId="1" xfId="2" applyNumberFormat="1" applyFont="1" applyFill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0" fontId="0" fillId="10" borderId="1" xfId="2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center" vertical="center" wrapText="1"/>
    </xf>
    <xf numFmtId="165" fontId="0" fillId="11" borderId="1" xfId="1" applyNumberFormat="1" applyFont="1" applyFill="1" applyBorder="1" applyAlignment="1">
      <alignment horizontal="center" vertical="center" wrapText="1"/>
    </xf>
    <xf numFmtId="4" fontId="0" fillId="11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12" borderId="1" xfId="1" applyNumberFormat="1" applyFont="1" applyFill="1" applyBorder="1" applyAlignment="1">
      <alignment horizontal="center" vertical="center" wrapText="1"/>
    </xf>
    <xf numFmtId="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10" fontId="0" fillId="9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10" fontId="0" fillId="0" borderId="0" xfId="0" applyNumberFormat="1" applyAlignment="1">
      <alignment horizontal="center"/>
    </xf>
    <xf numFmtId="0" fontId="0" fillId="9" borderId="1" xfId="0" applyFill="1" applyBorder="1" applyAlignment="1">
      <alignment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10" fillId="4" borderId="1" xfId="2" applyNumberFormat="1" applyFont="1" applyFill="1" applyBorder="1" applyAlignment="1">
      <alignment horizontal="center" vertical="center"/>
    </xf>
    <xf numFmtId="10" fontId="10" fillId="9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9" fillId="6" borderId="1" xfId="2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center" vertical="center" wrapText="1"/>
    </xf>
    <xf numFmtId="10" fontId="1" fillId="6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10" fontId="12" fillId="3" borderId="1" xfId="1" applyNumberFormat="1" applyFont="1" applyFill="1" applyBorder="1" applyAlignment="1">
      <alignment horizontal="center" vertical="center" wrapText="1"/>
    </xf>
    <xf numFmtId="10" fontId="12" fillId="3" borderId="1" xfId="2" applyNumberFormat="1" applyFont="1" applyFill="1" applyBorder="1" applyAlignment="1">
      <alignment horizontal="center" vertical="center" wrapText="1"/>
    </xf>
    <xf numFmtId="10" fontId="10" fillId="6" borderId="1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0" fontId="15" fillId="9" borderId="1" xfId="2" applyNumberFormat="1" applyFont="1" applyFill="1" applyBorder="1" applyAlignment="1">
      <alignment horizontal="center" vertical="center" wrapText="1"/>
    </xf>
    <xf numFmtId="10" fontId="11" fillId="10" borderId="1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center" vertical="center"/>
    </xf>
    <xf numFmtId="10" fontId="11" fillId="6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0" fillId="0" borderId="0" xfId="2" applyFont="1" applyAlignment="1">
      <alignment horizontal="center"/>
    </xf>
    <xf numFmtId="43" fontId="0" fillId="0" borderId="0" xfId="0" applyNumberFormat="1"/>
    <xf numFmtId="167" fontId="0" fillId="0" borderId="0" xfId="2" applyNumberFormat="1" applyFont="1"/>
    <xf numFmtId="0" fontId="5" fillId="13" borderId="7" xfId="0" applyFont="1" applyFill="1" applyBorder="1"/>
    <xf numFmtId="0" fontId="0" fillId="13" borderId="8" xfId="0" applyFill="1" applyBorder="1"/>
    <xf numFmtId="0" fontId="0" fillId="13" borderId="9" xfId="0" applyFill="1" applyBorder="1"/>
    <xf numFmtId="0" fontId="5" fillId="13" borderId="10" xfId="0" applyFont="1" applyFill="1" applyBorder="1"/>
    <xf numFmtId="0" fontId="0" fillId="13" borderId="11" xfId="0" applyFill="1" applyBorder="1"/>
    <xf numFmtId="0" fontId="0" fillId="13" borderId="12" xfId="0" applyFill="1" applyBorder="1"/>
    <xf numFmtId="0" fontId="0" fillId="7" borderId="10" xfId="0" applyFill="1" applyBorder="1"/>
    <xf numFmtId="0" fontId="0" fillId="7" borderId="11" xfId="0" applyFill="1" applyBorder="1"/>
    <xf numFmtId="0" fontId="5" fillId="7" borderId="12" xfId="0" applyFont="1" applyFill="1" applyBorder="1"/>
    <xf numFmtId="0" fontId="0" fillId="14" borderId="3" xfId="0" applyFill="1" applyBorder="1" applyAlignment="1">
      <alignment horizontal="left" indent="2"/>
    </xf>
    <xf numFmtId="0" fontId="0" fillId="14" borderId="0" xfId="0" applyFill="1" applyBorder="1"/>
    <xf numFmtId="10" fontId="5" fillId="14" borderId="13" xfId="2" applyNumberFormat="1" applyFont="1" applyFill="1" applyBorder="1"/>
    <xf numFmtId="0" fontId="0" fillId="7" borderId="3" xfId="0" applyFill="1" applyBorder="1"/>
    <xf numFmtId="0" fontId="0" fillId="7" borderId="0" xfId="0" applyFill="1" applyBorder="1"/>
    <xf numFmtId="10" fontId="5" fillId="7" borderId="13" xfId="2" applyNumberFormat="1" applyFont="1" applyFill="1" applyBorder="1"/>
    <xf numFmtId="0" fontId="0" fillId="15" borderId="3" xfId="0" applyFill="1" applyBorder="1" applyAlignment="1">
      <alignment horizontal="left"/>
    </xf>
    <xf numFmtId="0" fontId="0" fillId="15" borderId="0" xfId="0" applyFill="1" applyBorder="1"/>
    <xf numFmtId="10" fontId="5" fillId="15" borderId="13" xfId="2" applyNumberFormat="1" applyFont="1" applyFill="1" applyBorder="1"/>
    <xf numFmtId="0" fontId="0" fillId="14" borderId="3" xfId="0" applyFill="1" applyBorder="1" applyAlignment="1">
      <alignment vertical="center"/>
    </xf>
    <xf numFmtId="0" fontId="10" fillId="14" borderId="3" xfId="0" applyFont="1" applyFill="1" applyBorder="1" applyAlignment="1">
      <alignment horizontal="left" indent="2"/>
    </xf>
    <xf numFmtId="10" fontId="16" fillId="14" borderId="13" xfId="2" applyNumberFormat="1" applyFont="1" applyFill="1" applyBorder="1"/>
    <xf numFmtId="0" fontId="0" fillId="7" borderId="14" xfId="0" applyFill="1" applyBorder="1" applyAlignment="1">
      <alignment horizontal="left"/>
    </xf>
    <xf numFmtId="0" fontId="0" fillId="7" borderId="6" xfId="0" applyFill="1" applyBorder="1"/>
    <xf numFmtId="9" fontId="5" fillId="7" borderId="15" xfId="2" applyFont="1" applyFill="1" applyBorder="1"/>
    <xf numFmtId="0" fontId="17" fillId="12" borderId="10" xfId="0" applyFont="1" applyFill="1" applyBorder="1"/>
    <xf numFmtId="0" fontId="0" fillId="12" borderId="11" xfId="0" applyFill="1" applyBorder="1"/>
    <xf numFmtId="0" fontId="5" fillId="12" borderId="12" xfId="0" applyFont="1" applyFill="1" applyBorder="1"/>
    <xf numFmtId="0" fontId="0" fillId="12" borderId="3" xfId="0" applyFill="1" applyBorder="1"/>
    <xf numFmtId="0" fontId="5" fillId="12" borderId="0" xfId="0" applyFont="1" applyFill="1" applyBorder="1" applyAlignment="1">
      <alignment horizontal="right"/>
    </xf>
    <xf numFmtId="10" fontId="5" fillId="12" borderId="13" xfId="0" applyNumberFormat="1" applyFont="1" applyFill="1" applyBorder="1"/>
    <xf numFmtId="0" fontId="5" fillId="12" borderId="0" xfId="0" applyFont="1" applyFill="1" applyBorder="1"/>
    <xf numFmtId="0" fontId="5" fillId="12" borderId="13" xfId="0" applyFont="1" applyFill="1" applyBorder="1"/>
    <xf numFmtId="0" fontId="0" fillId="12" borderId="14" xfId="0" applyFill="1" applyBorder="1"/>
    <xf numFmtId="0" fontId="5" fillId="12" borderId="6" xfId="0" applyFont="1" applyFill="1" applyBorder="1" applyAlignment="1">
      <alignment horizontal="right"/>
    </xf>
    <xf numFmtId="10" fontId="5" fillId="12" borderId="15" xfId="0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0" fillId="5" borderId="0" xfId="0" applyNumberFormat="1" applyFill="1"/>
    <xf numFmtId="10" fontId="0" fillId="16" borderId="0" xfId="0" applyNumberFormat="1" applyFill="1"/>
    <xf numFmtId="0" fontId="0" fillId="5" borderId="3" xfId="0" applyFill="1" applyBorder="1" applyAlignment="1">
      <alignment horizontal="left" indent="2"/>
    </xf>
    <xf numFmtId="10" fontId="0" fillId="17" borderId="0" xfId="0" applyNumberFormat="1" applyFill="1"/>
    <xf numFmtId="0" fontId="0" fillId="11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showGridLines="0" zoomScale="70" zoomScaleNormal="70" workbookViewId="0">
      <pane xSplit="4" ySplit="5" topLeftCell="G28" activePane="bottomRight" state="frozen"/>
      <selection pane="topRight" activeCell="E1" sqref="E1"/>
      <selection pane="bottomLeft" activeCell="A6" sqref="A6"/>
      <selection pane="bottomRight" activeCell="D36" sqref="D36"/>
    </sheetView>
  </sheetViews>
  <sheetFormatPr defaultRowHeight="15"/>
  <cols>
    <col min="1" max="1" width="3.140625" customWidth="1"/>
    <col min="2" max="2" width="20.7109375" hidden="1" customWidth="1"/>
    <col min="3" max="3" width="17.5703125" hidden="1" customWidth="1"/>
    <col min="4" max="4" width="29.7109375" customWidth="1"/>
    <col min="5" max="5" width="20.5703125" customWidth="1"/>
    <col min="6" max="6" width="41.85546875" customWidth="1"/>
    <col min="7" max="7" width="15" style="1" customWidth="1"/>
    <col min="8" max="10" width="17.85546875" style="1" customWidth="1"/>
    <col min="11" max="11" width="96.7109375" customWidth="1"/>
    <col min="12" max="13" width="14.28515625" style="20" hidden="1" customWidth="1"/>
    <col min="14" max="14" width="13.85546875" style="20" hidden="1" customWidth="1"/>
    <col min="15" max="16" width="47.42578125" style="90" hidden="1" customWidth="1"/>
    <col min="17" max="17" width="19.5703125" hidden="1" customWidth="1"/>
    <col min="18" max="18" width="48.7109375" style="90" hidden="1" customWidth="1"/>
    <col min="19" max="19" width="27.7109375" style="95" customWidth="1"/>
    <col min="20" max="20" width="27.7109375" style="101" customWidth="1"/>
    <col min="21" max="21" width="30.5703125" customWidth="1"/>
  </cols>
  <sheetData>
    <row r="1" spans="2:21">
      <c r="G1" s="162" t="s">
        <v>164</v>
      </c>
      <c r="H1" s="162"/>
      <c r="I1" s="101"/>
      <c r="J1" s="101"/>
    </row>
    <row r="2" spans="2:21">
      <c r="G2" s="169"/>
      <c r="H2" s="169"/>
      <c r="I2" s="110"/>
      <c r="J2" s="110"/>
      <c r="L2" s="20">
        <v>72.7</v>
      </c>
      <c r="M2" s="20">
        <v>72.7</v>
      </c>
      <c r="N2" s="20">
        <v>72.7</v>
      </c>
    </row>
    <row r="3" spans="2:21" ht="45">
      <c r="B3" s="32" t="s">
        <v>89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198</v>
      </c>
      <c r="H3" s="4" t="s">
        <v>199</v>
      </c>
      <c r="I3" s="4" t="s">
        <v>201</v>
      </c>
      <c r="J3" s="4" t="s">
        <v>200</v>
      </c>
      <c r="K3" s="3" t="s">
        <v>160</v>
      </c>
      <c r="L3" s="164" t="s">
        <v>87</v>
      </c>
      <c r="M3" s="165"/>
      <c r="N3" s="165"/>
      <c r="O3" s="99" t="s">
        <v>135</v>
      </c>
      <c r="P3" s="99" t="s">
        <v>134</v>
      </c>
      <c r="Q3" s="100"/>
      <c r="R3" s="99" t="s">
        <v>131</v>
      </c>
      <c r="T3" s="101" t="s">
        <v>190</v>
      </c>
    </row>
    <row r="4" spans="2:21" ht="30" hidden="1" customHeight="1">
      <c r="B4" s="27"/>
      <c r="C4" s="5" t="s">
        <v>8</v>
      </c>
      <c r="D4" s="5" t="s">
        <v>9</v>
      </c>
      <c r="E4" s="5" t="s">
        <v>10</v>
      </c>
      <c r="F4" s="5" t="s">
        <v>11</v>
      </c>
      <c r="G4" s="6">
        <v>0</v>
      </c>
      <c r="H4" s="7">
        <v>266292.75</v>
      </c>
      <c r="I4" s="7"/>
      <c r="J4" s="7"/>
      <c r="K4" s="5" t="s">
        <v>65</v>
      </c>
      <c r="L4" s="21"/>
      <c r="M4" s="21"/>
    </row>
    <row r="5" spans="2:21">
      <c r="B5" s="178" t="s">
        <v>90</v>
      </c>
      <c r="C5" s="33"/>
      <c r="D5" s="33"/>
      <c r="E5" s="33"/>
      <c r="F5" s="33"/>
      <c r="G5" s="40"/>
      <c r="H5" s="41"/>
      <c r="I5" s="41"/>
      <c r="J5" s="41"/>
      <c r="K5" s="33"/>
      <c r="L5" s="42" t="s">
        <v>4</v>
      </c>
      <c r="M5" s="42" t="s">
        <v>5</v>
      </c>
      <c r="N5" s="43" t="s">
        <v>88</v>
      </c>
    </row>
    <row r="6" spans="2:21" ht="45">
      <c r="B6" s="178"/>
      <c r="C6" s="5" t="s">
        <v>8</v>
      </c>
      <c r="D6" s="5" t="s">
        <v>9</v>
      </c>
      <c r="E6" s="5" t="s">
        <v>12</v>
      </c>
      <c r="F6" s="5" t="s">
        <v>13</v>
      </c>
      <c r="G6" s="13">
        <v>3.1858837896721962E-3</v>
      </c>
      <c r="H6" s="13">
        <v>3.607732367410172E-2</v>
      </c>
      <c r="I6" s="13">
        <v>3.1858837896721962E-3</v>
      </c>
      <c r="J6" s="13">
        <v>3.607732367410172E-2</v>
      </c>
      <c r="K6" s="5" t="s">
        <v>161</v>
      </c>
      <c r="L6" s="93">
        <f t="shared" ref="L6:M9" si="0">(G6/$L$2)*100</f>
        <v>4.3822335483799119E-3</v>
      </c>
      <c r="M6" s="93">
        <f t="shared" si="0"/>
        <v>4.9624929400415019E-2</v>
      </c>
      <c r="N6" s="93" t="e">
        <f>(#REF!/$L$2)*100</f>
        <v>#REF!</v>
      </c>
      <c r="O6" s="90" t="s">
        <v>136</v>
      </c>
      <c r="P6" s="90" t="s">
        <v>137</v>
      </c>
      <c r="R6" s="90" t="s">
        <v>132</v>
      </c>
      <c r="S6" s="101" t="s">
        <v>187</v>
      </c>
      <c r="T6" s="101" t="s">
        <v>207</v>
      </c>
      <c r="U6" s="180" t="s">
        <v>168</v>
      </c>
    </row>
    <row r="7" spans="2:21" ht="60">
      <c r="B7" s="178"/>
      <c r="C7" s="5" t="s">
        <v>8</v>
      </c>
      <c r="D7" s="5" t="s">
        <v>9</v>
      </c>
      <c r="E7" s="5" t="s">
        <v>14</v>
      </c>
      <c r="F7" s="5" t="s">
        <v>15</v>
      </c>
      <c r="G7" s="103">
        <v>7.309550531847479E-3</v>
      </c>
      <c r="H7" s="103">
        <v>3.7161812816277873E-3</v>
      </c>
      <c r="I7" s="103">
        <v>7.309550531847479E-3</v>
      </c>
      <c r="J7" s="103">
        <v>3.7161812816277873E-3</v>
      </c>
      <c r="K7" s="5" t="s">
        <v>162</v>
      </c>
      <c r="L7" s="93">
        <f t="shared" si="0"/>
        <v>1.0054402382183601E-2</v>
      </c>
      <c r="M7" s="93">
        <f t="shared" si="0"/>
        <v>5.1116661370395975E-3</v>
      </c>
      <c r="N7" s="93" t="e">
        <f>(#REF!/$L$2)*100</f>
        <v>#REF!</v>
      </c>
      <c r="O7" s="90" t="s">
        <v>138</v>
      </c>
      <c r="P7" s="90" t="s">
        <v>139</v>
      </c>
      <c r="R7" s="90" t="s">
        <v>140</v>
      </c>
      <c r="S7" s="101" t="s">
        <v>187</v>
      </c>
      <c r="T7" s="101" t="s">
        <v>207</v>
      </c>
      <c r="U7" s="180"/>
    </row>
    <row r="8" spans="2:21" ht="60">
      <c r="B8" s="178"/>
      <c r="C8" s="5" t="s">
        <v>8</v>
      </c>
      <c r="D8" s="5" t="s">
        <v>9</v>
      </c>
      <c r="E8" s="5" t="s">
        <v>16</v>
      </c>
      <c r="F8" s="5" t="s">
        <v>17</v>
      </c>
      <c r="G8" s="102">
        <v>0</v>
      </c>
      <c r="H8" s="13">
        <v>3.0999999999999999E-3</v>
      </c>
      <c r="I8" s="102">
        <v>0</v>
      </c>
      <c r="J8" s="13">
        <v>3.0999999999999999E-3</v>
      </c>
      <c r="K8" s="5" t="s">
        <v>163</v>
      </c>
      <c r="L8" s="39">
        <f t="shared" si="0"/>
        <v>0</v>
      </c>
      <c r="M8" s="39">
        <f t="shared" si="0"/>
        <v>4.2640990371389268E-3</v>
      </c>
      <c r="N8" s="39" t="e">
        <f>(#REF!/$L$2)*100</f>
        <v>#REF!</v>
      </c>
      <c r="O8" s="90" t="s">
        <v>89</v>
      </c>
      <c r="P8" s="90" t="s">
        <v>123</v>
      </c>
      <c r="R8" s="90" t="s">
        <v>133</v>
      </c>
      <c r="S8" s="101" t="s">
        <v>89</v>
      </c>
      <c r="U8" s="180"/>
    </row>
    <row r="9" spans="2:21" ht="45">
      <c r="B9" s="178"/>
      <c r="C9" s="5" t="s">
        <v>8</v>
      </c>
      <c r="D9" s="5" t="s">
        <v>18</v>
      </c>
      <c r="E9" s="5" t="s">
        <v>19</v>
      </c>
      <c r="F9" s="5" t="s">
        <v>20</v>
      </c>
      <c r="G9" s="97">
        <v>0</v>
      </c>
      <c r="H9" s="13">
        <v>2.0000000000000001E-4</v>
      </c>
      <c r="I9" s="97">
        <v>0</v>
      </c>
      <c r="J9" s="13">
        <v>2.0000000000000001E-4</v>
      </c>
      <c r="K9" s="5" t="s">
        <v>165</v>
      </c>
      <c r="L9" s="39">
        <f t="shared" si="0"/>
        <v>0</v>
      </c>
      <c r="M9" s="39">
        <f t="shared" si="0"/>
        <v>2.7510316368638239E-4</v>
      </c>
      <c r="N9" s="39" t="e">
        <f>(#REF!/$L$2)*100</f>
        <v>#REF!</v>
      </c>
      <c r="O9" s="90" t="s">
        <v>141</v>
      </c>
      <c r="P9" s="90" t="s">
        <v>142</v>
      </c>
      <c r="R9" s="90" t="s">
        <v>133</v>
      </c>
      <c r="U9" s="180"/>
    </row>
    <row r="10" spans="2:21" ht="30">
      <c r="B10" s="178"/>
      <c r="C10" s="5" t="s">
        <v>8</v>
      </c>
      <c r="D10" s="5" t="s">
        <v>18</v>
      </c>
      <c r="E10" s="5" t="s">
        <v>21</v>
      </c>
      <c r="F10" s="5" t="s">
        <v>22</v>
      </c>
      <c r="G10" s="97">
        <v>0</v>
      </c>
      <c r="H10" s="13">
        <v>0</v>
      </c>
      <c r="I10" s="97">
        <v>0</v>
      </c>
      <c r="J10" s="13">
        <v>0</v>
      </c>
      <c r="K10" s="5" t="s">
        <v>188</v>
      </c>
      <c r="L10" s="93">
        <f>(G10/$L$2)*100</f>
        <v>0</v>
      </c>
      <c r="M10" s="93">
        <v>0</v>
      </c>
      <c r="N10" s="93">
        <v>0</v>
      </c>
      <c r="O10" s="90" t="s">
        <v>89</v>
      </c>
      <c r="P10" s="90" t="s">
        <v>143</v>
      </c>
      <c r="U10" s="180"/>
    </row>
    <row r="11" spans="2:21" ht="60">
      <c r="B11" s="178"/>
      <c r="C11" s="5" t="s">
        <v>8</v>
      </c>
      <c r="D11" s="5" t="s">
        <v>18</v>
      </c>
      <c r="E11" s="5" t="s">
        <v>23</v>
      </c>
      <c r="F11" s="5" t="s">
        <v>24</v>
      </c>
      <c r="G11" s="13">
        <v>4.4999999999999997E-3</v>
      </c>
      <c r="H11" s="13">
        <v>4.4000000000000003E-3</v>
      </c>
      <c r="I11" s="13">
        <v>4.4999999999999997E-3</v>
      </c>
      <c r="J11" s="13">
        <v>4.4000000000000003E-3</v>
      </c>
      <c r="K11" s="5" t="s">
        <v>166</v>
      </c>
      <c r="L11" s="39">
        <f>(G11/$L$2)*100</f>
        <v>6.1898211829436028E-3</v>
      </c>
      <c r="M11" s="39">
        <f>(H11/$L$2)*100</f>
        <v>6.0522696011004132E-3</v>
      </c>
      <c r="N11" s="39" t="e">
        <f>(#REF!/$L$2)*100</f>
        <v>#REF!</v>
      </c>
      <c r="O11" s="90" t="s">
        <v>144</v>
      </c>
      <c r="P11" s="90" t="s">
        <v>145</v>
      </c>
      <c r="R11" s="90" t="s">
        <v>146</v>
      </c>
      <c r="S11" s="95" t="s">
        <v>191</v>
      </c>
      <c r="U11" s="180"/>
    </row>
    <row r="12" spans="2:21">
      <c r="B12" s="179"/>
      <c r="C12" s="5"/>
      <c r="D12" s="5"/>
      <c r="E12" s="5"/>
      <c r="F12" s="5" t="s">
        <v>89</v>
      </c>
      <c r="G12" s="13">
        <f>SUM(G6:G11)</f>
        <v>1.4995434321519674E-2</v>
      </c>
      <c r="H12" s="13">
        <f>SUM(H6:H11)</f>
        <v>4.7493504955729508E-2</v>
      </c>
      <c r="I12" s="13">
        <f>SUM(I6:I11)</f>
        <v>1.4995434321519674E-2</v>
      </c>
      <c r="J12" s="13">
        <f>SUM(J6:J11)</f>
        <v>4.7493504955729508E-2</v>
      </c>
      <c r="K12" s="5" t="s">
        <v>167</v>
      </c>
      <c r="L12" s="13">
        <f>SUM(L6:L11)</f>
        <v>2.0626457113507114E-2</v>
      </c>
      <c r="M12" s="13">
        <f>SUM(M6:M11)</f>
        <v>6.5328067339380333E-2</v>
      </c>
      <c r="N12" s="13" t="e">
        <f>SUM(N6:N11)</f>
        <v>#REF!</v>
      </c>
    </row>
    <row r="13" spans="2:21" hidden="1">
      <c r="B13" s="166" t="s">
        <v>91</v>
      </c>
      <c r="C13" s="23"/>
      <c r="D13" s="23" t="s">
        <v>89</v>
      </c>
      <c r="E13" s="23"/>
      <c r="F13" s="23"/>
      <c r="G13" s="24"/>
      <c r="H13" s="24"/>
      <c r="I13" s="24"/>
      <c r="J13" s="24"/>
      <c r="K13" s="23"/>
      <c r="L13" s="25"/>
      <c r="M13" s="25"/>
      <c r="N13" s="26"/>
    </row>
    <row r="14" spans="2:21">
      <c r="B14" s="167"/>
      <c r="C14" s="23" t="s">
        <v>25</v>
      </c>
      <c r="D14" s="163" t="s">
        <v>125</v>
      </c>
      <c r="E14" s="163" t="s">
        <v>30</v>
      </c>
      <c r="F14" s="23" t="s">
        <v>126</v>
      </c>
      <c r="G14" s="52">
        <v>1.4999999999999999E-2</v>
      </c>
      <c r="H14" s="52">
        <v>1.4999999999999999E-2</v>
      </c>
      <c r="I14" s="52">
        <v>1.4999999999999999E-2</v>
      </c>
      <c r="J14" s="52">
        <v>1.4999999999999999E-2</v>
      </c>
      <c r="K14" s="23" t="s">
        <v>208</v>
      </c>
      <c r="L14" s="98">
        <f t="shared" ref="L14:M16" si="1">(G14/$L$2)*100</f>
        <v>2.0632737276478678E-2</v>
      </c>
      <c r="M14" s="98">
        <f t="shared" si="1"/>
        <v>2.0632737276478678E-2</v>
      </c>
      <c r="N14" s="98" t="e">
        <f>(#REF!/$L$2)*100</f>
        <v>#REF!</v>
      </c>
      <c r="O14" s="90" t="s">
        <v>144</v>
      </c>
      <c r="P14" s="91" t="s">
        <v>121</v>
      </c>
      <c r="Q14" s="162" t="s">
        <v>89</v>
      </c>
      <c r="S14" s="95" t="s">
        <v>89</v>
      </c>
    </row>
    <row r="15" spans="2:21">
      <c r="B15" s="167"/>
      <c r="C15" s="23"/>
      <c r="D15" s="160"/>
      <c r="E15" s="160"/>
      <c r="F15" s="23" t="s">
        <v>128</v>
      </c>
      <c r="G15" s="52">
        <v>0</v>
      </c>
      <c r="H15" s="52">
        <v>0</v>
      </c>
      <c r="I15" s="112">
        <v>0</v>
      </c>
      <c r="J15" s="112">
        <v>0</v>
      </c>
      <c r="K15" s="23" t="s">
        <v>206</v>
      </c>
      <c r="L15" s="96">
        <f t="shared" si="1"/>
        <v>0</v>
      </c>
      <c r="M15" s="104">
        <f t="shared" si="1"/>
        <v>0</v>
      </c>
      <c r="N15" s="104" t="e">
        <f>(#REF!/$L$2)*100</f>
        <v>#REF!</v>
      </c>
      <c r="O15" s="91" t="s">
        <v>89</v>
      </c>
      <c r="P15" s="91" t="s">
        <v>89</v>
      </c>
      <c r="Q15" s="162"/>
      <c r="R15" s="91" t="s">
        <v>148</v>
      </c>
      <c r="S15" s="95" t="s">
        <v>89</v>
      </c>
    </row>
    <row r="16" spans="2:21" ht="75">
      <c r="B16" s="167"/>
      <c r="C16" s="23"/>
      <c r="D16" s="161"/>
      <c r="E16" s="161"/>
      <c r="F16" s="23" t="s">
        <v>127</v>
      </c>
      <c r="G16" s="24">
        <v>0</v>
      </c>
      <c r="H16" s="24">
        <v>0</v>
      </c>
      <c r="I16" s="113">
        <v>0.02</v>
      </c>
      <c r="J16" s="113">
        <v>0.02</v>
      </c>
      <c r="K16" s="23" t="s">
        <v>169</v>
      </c>
      <c r="L16" s="98">
        <f t="shared" si="1"/>
        <v>0</v>
      </c>
      <c r="M16" s="98">
        <f t="shared" si="1"/>
        <v>0</v>
      </c>
      <c r="N16" s="98" t="e">
        <f>(#REF!/$L$2)*100</f>
        <v>#REF!</v>
      </c>
      <c r="O16" s="90" t="s">
        <v>89</v>
      </c>
      <c r="P16" s="90" t="s">
        <v>147</v>
      </c>
      <c r="Q16" s="162"/>
      <c r="S16" s="95" t="s">
        <v>210</v>
      </c>
      <c r="T16" s="101" t="s">
        <v>209</v>
      </c>
    </row>
    <row r="17" spans="1:20">
      <c r="B17" s="168"/>
      <c r="C17" s="23"/>
      <c r="D17" s="23"/>
      <c r="E17" s="23"/>
      <c r="F17" s="23" t="s">
        <v>86</v>
      </c>
      <c r="G17" s="53">
        <f>G14</f>
        <v>1.4999999999999999E-2</v>
      </c>
      <c r="H17" s="53">
        <f t="shared" ref="H17:J17" si="2">SUM(H13:H16)</f>
        <v>1.4999999999999999E-2</v>
      </c>
      <c r="I17" s="53">
        <f>I14</f>
        <v>1.4999999999999999E-2</v>
      </c>
      <c r="J17" s="53">
        <f t="shared" si="2"/>
        <v>3.5000000000000003E-2</v>
      </c>
      <c r="K17" s="23" t="s">
        <v>170</v>
      </c>
      <c r="L17" s="53">
        <f>L14</f>
        <v>2.0632737276478678E-2</v>
      </c>
      <c r="M17" s="53">
        <f t="shared" ref="M17:N17" si="3">SUM(M13:M16)</f>
        <v>2.0632737276478678E-2</v>
      </c>
      <c r="N17" s="53" t="e">
        <f t="shared" si="3"/>
        <v>#REF!</v>
      </c>
      <c r="O17" s="90" t="s">
        <v>89</v>
      </c>
    </row>
    <row r="18" spans="1:20" ht="90">
      <c r="B18" s="170" t="s">
        <v>92</v>
      </c>
      <c r="C18" s="28" t="s">
        <v>25</v>
      </c>
      <c r="D18" s="28" t="s">
        <v>39</v>
      </c>
      <c r="E18" s="28" t="s">
        <v>40</v>
      </c>
      <c r="F18" s="28" t="s">
        <v>41</v>
      </c>
      <c r="G18" s="49">
        <v>6.8000000000000005E-2</v>
      </c>
      <c r="H18" s="49">
        <v>6.8000000000000005E-2</v>
      </c>
      <c r="I18" s="49">
        <v>6.8000000000000005E-2</v>
      </c>
      <c r="J18" s="49">
        <v>6.8000000000000005E-2</v>
      </c>
      <c r="K18" s="28" t="s">
        <v>42</v>
      </c>
      <c r="L18" s="50">
        <f>((G18+H18)/2)/0.727</f>
        <v>9.353507565337002E-2</v>
      </c>
      <c r="M18" s="50">
        <f>L18</f>
        <v>9.353507565337002E-2</v>
      </c>
      <c r="N18" s="50" t="e">
        <f>(#REF!/$L$2)*100</f>
        <v>#REF!</v>
      </c>
      <c r="O18" s="90" t="s">
        <v>144</v>
      </c>
      <c r="P18" s="90" t="s">
        <v>149</v>
      </c>
      <c r="S18" s="95" t="s">
        <v>192</v>
      </c>
    </row>
    <row r="19" spans="1:20" ht="30">
      <c r="B19" s="171"/>
      <c r="C19" s="28" t="s">
        <v>25</v>
      </c>
      <c r="D19" s="28" t="s">
        <v>39</v>
      </c>
      <c r="E19" s="28" t="s">
        <v>43</v>
      </c>
      <c r="F19" s="28" t="s">
        <v>44</v>
      </c>
      <c r="G19" s="51">
        <v>2.5538591429083229E-4</v>
      </c>
      <c r="H19" s="29">
        <v>2.5538591429083229E-4</v>
      </c>
      <c r="I19" s="51">
        <v>2.5538591429083229E-4</v>
      </c>
      <c r="J19" s="29">
        <v>2.5538591429083229E-4</v>
      </c>
      <c r="K19" s="28" t="s">
        <v>171</v>
      </c>
      <c r="L19" s="50">
        <f>(G19/$L$2)*100</f>
        <v>3.5128736491173628E-4</v>
      </c>
      <c r="M19" s="50">
        <f>(H19/$L$2)*100</f>
        <v>3.5128736491173628E-4</v>
      </c>
      <c r="N19" s="50" t="e">
        <f>(#REF!/$L$2)*100</f>
        <v>#REF!</v>
      </c>
      <c r="O19" s="90" t="s">
        <v>150</v>
      </c>
      <c r="P19" s="90" t="s">
        <v>149</v>
      </c>
      <c r="R19" s="90" t="s">
        <v>151</v>
      </c>
      <c r="S19" s="95" t="s">
        <v>193</v>
      </c>
    </row>
    <row r="20" spans="1:20" hidden="1">
      <c r="B20" s="171"/>
      <c r="C20" s="28"/>
      <c r="D20" s="28"/>
      <c r="E20" s="28"/>
      <c r="F20" s="28"/>
      <c r="G20" s="29"/>
      <c r="H20" s="29"/>
      <c r="I20" s="29"/>
      <c r="J20" s="29"/>
      <c r="K20" s="28"/>
      <c r="L20" s="30"/>
      <c r="M20" s="30"/>
      <c r="N20" s="31"/>
    </row>
    <row r="21" spans="1:20" hidden="1">
      <c r="B21" s="171"/>
      <c r="C21" s="28"/>
      <c r="D21" s="28"/>
      <c r="E21" s="28"/>
      <c r="F21" s="28"/>
      <c r="G21" s="29"/>
      <c r="H21" s="29"/>
      <c r="I21" s="29"/>
      <c r="J21" s="29"/>
      <c r="K21" s="28"/>
      <c r="L21" s="30"/>
      <c r="M21" s="30"/>
      <c r="N21" s="31"/>
    </row>
    <row r="22" spans="1:20" hidden="1">
      <c r="B22" s="171"/>
      <c r="C22" s="28"/>
      <c r="D22" s="28"/>
      <c r="E22" s="28"/>
      <c r="F22" s="28"/>
      <c r="G22" s="29"/>
      <c r="H22" s="29"/>
      <c r="I22" s="29"/>
      <c r="J22" s="29"/>
      <c r="K22" s="28"/>
      <c r="L22" s="30"/>
      <c r="M22" s="30"/>
      <c r="N22" s="31"/>
    </row>
    <row r="23" spans="1:20">
      <c r="B23" s="172"/>
      <c r="C23" s="28"/>
      <c r="D23" s="28"/>
      <c r="E23" s="28"/>
      <c r="F23" s="28"/>
      <c r="G23" s="55">
        <f>SUM(G18:G22)</f>
        <v>6.8255385914290839E-2</v>
      </c>
      <c r="H23" s="55">
        <f t="shared" ref="H23:J23" si="4">SUM(H18:H22)</f>
        <v>6.8255385914290839E-2</v>
      </c>
      <c r="I23" s="55">
        <f>SUM(I18:I22)</f>
        <v>6.8255385914290839E-2</v>
      </c>
      <c r="J23" s="55">
        <f t="shared" si="4"/>
        <v>6.8255385914290839E-2</v>
      </c>
      <c r="K23" s="28" t="s">
        <v>172</v>
      </c>
      <c r="L23" s="55">
        <f>SUM(L18:L22)</f>
        <v>9.3886363018281752E-2</v>
      </c>
      <c r="M23" s="55">
        <f t="shared" ref="M23:N23" si="5">SUM(M18:M22)</f>
        <v>9.3886363018281752E-2</v>
      </c>
      <c r="N23" s="55" t="e">
        <f t="shared" si="5"/>
        <v>#REF!</v>
      </c>
    </row>
    <row r="24" spans="1:20" ht="45">
      <c r="B24" s="173"/>
      <c r="C24" s="44" t="s">
        <v>25</v>
      </c>
      <c r="D24" s="44" t="s">
        <v>26</v>
      </c>
      <c r="E24" s="44" t="s">
        <v>176</v>
      </c>
      <c r="F24" s="44" t="s">
        <v>175</v>
      </c>
      <c r="G24" s="45">
        <v>5.0999999999999997E-2</v>
      </c>
      <c r="H24" s="45">
        <v>5.1799999999999999E-2</v>
      </c>
      <c r="I24" s="111">
        <v>0.15</v>
      </c>
      <c r="J24" s="111">
        <v>0.15</v>
      </c>
      <c r="K24" s="44" t="s">
        <v>197</v>
      </c>
      <c r="L24" s="94">
        <f>(G24/$L$2)*100</f>
        <v>7.0151306740027494E-2</v>
      </c>
      <c r="M24" s="46">
        <f>(H24/$L$2)*100</f>
        <v>7.1251719394773039E-2</v>
      </c>
      <c r="N24" s="46" t="e">
        <f>(#REF!/$L$2)*100</f>
        <v>#REF!</v>
      </c>
      <c r="O24" s="90" t="s">
        <v>144</v>
      </c>
      <c r="P24" s="90" t="s">
        <v>122</v>
      </c>
      <c r="S24" s="95" t="s">
        <v>173</v>
      </c>
      <c r="T24" s="182" t="s">
        <v>211</v>
      </c>
    </row>
    <row r="25" spans="1:20" ht="45">
      <c r="B25" s="173"/>
      <c r="C25" s="44"/>
      <c r="D25" s="44"/>
      <c r="E25" s="44" t="s">
        <v>176</v>
      </c>
      <c r="F25" s="44"/>
      <c r="G25" s="45">
        <v>0</v>
      </c>
      <c r="H25" s="45">
        <v>0</v>
      </c>
      <c r="I25" s="45">
        <v>0</v>
      </c>
      <c r="J25" s="45">
        <v>0</v>
      </c>
      <c r="K25" s="44" t="s">
        <v>214</v>
      </c>
      <c r="L25" s="94"/>
      <c r="M25" s="46"/>
      <c r="N25" s="46"/>
      <c r="O25" s="95"/>
      <c r="P25" s="95"/>
      <c r="R25" s="95"/>
      <c r="S25" s="95" t="s">
        <v>174</v>
      </c>
      <c r="T25" s="182"/>
    </row>
    <row r="26" spans="1:20">
      <c r="B26" s="173"/>
      <c r="C26" s="44"/>
      <c r="D26" s="44"/>
      <c r="E26" s="44"/>
      <c r="F26" s="44"/>
      <c r="G26" s="111">
        <v>7.3800000000000004E-2</v>
      </c>
      <c r="H26" s="111">
        <v>7.3800000000000004E-2</v>
      </c>
      <c r="I26" s="111">
        <v>0</v>
      </c>
      <c r="J26" s="111">
        <v>0</v>
      </c>
      <c r="K26" s="44" t="s">
        <v>215</v>
      </c>
      <c r="L26" s="94"/>
      <c r="M26" s="46"/>
      <c r="N26" s="46"/>
      <c r="O26" s="101"/>
      <c r="P26" s="101"/>
      <c r="R26" s="101"/>
      <c r="S26" s="101"/>
      <c r="T26" s="182"/>
    </row>
    <row r="27" spans="1:20">
      <c r="B27" s="173"/>
      <c r="C27" s="44"/>
      <c r="D27" s="44"/>
      <c r="E27" s="44"/>
      <c r="F27" s="44"/>
      <c r="G27" s="111">
        <v>0</v>
      </c>
      <c r="H27" s="111">
        <v>1.46E-2</v>
      </c>
      <c r="I27" s="111">
        <v>0</v>
      </c>
      <c r="J27" s="111">
        <v>0</v>
      </c>
      <c r="K27" s="44" t="s">
        <v>216</v>
      </c>
      <c r="L27" s="94"/>
      <c r="M27" s="46"/>
      <c r="N27" s="46"/>
      <c r="O27" s="101"/>
      <c r="P27" s="101"/>
      <c r="R27" s="101"/>
      <c r="S27" s="101"/>
      <c r="T27" s="182"/>
    </row>
    <row r="28" spans="1:20">
      <c r="B28" s="173"/>
      <c r="C28" s="44"/>
      <c r="D28" s="44"/>
      <c r="E28" s="44"/>
      <c r="F28" s="44"/>
      <c r="G28" s="45">
        <v>0</v>
      </c>
      <c r="H28" s="45">
        <v>3.0000000000000001E-3</v>
      </c>
      <c r="I28" s="45">
        <v>0</v>
      </c>
      <c r="J28" s="45">
        <v>0</v>
      </c>
      <c r="K28" s="44" t="s">
        <v>205</v>
      </c>
      <c r="L28" s="94"/>
      <c r="M28" s="46"/>
      <c r="N28" s="46"/>
      <c r="O28" s="101"/>
      <c r="P28" s="101"/>
      <c r="R28" s="101"/>
      <c r="S28" s="101"/>
      <c r="T28" s="182"/>
    </row>
    <row r="29" spans="1:20" ht="45">
      <c r="A29" t="s">
        <v>89</v>
      </c>
      <c r="B29" s="173"/>
      <c r="C29" s="44" t="s">
        <v>25</v>
      </c>
      <c r="D29" s="44" t="s">
        <v>26</v>
      </c>
      <c r="E29" s="44" t="s">
        <v>177</v>
      </c>
      <c r="F29" s="44" t="s">
        <v>28</v>
      </c>
      <c r="G29" s="45">
        <v>5.9999999999999995E-4</v>
      </c>
      <c r="H29" s="45">
        <v>2.9999999999999997E-4</v>
      </c>
      <c r="I29" s="45">
        <v>5.9999999999999995E-4</v>
      </c>
      <c r="J29" s="45">
        <v>2.9999999999999997E-4</v>
      </c>
      <c r="K29" s="44" t="s">
        <v>29</v>
      </c>
      <c r="L29" s="46">
        <f>(G29/$L$2)*100</f>
        <v>8.253094910591471E-4</v>
      </c>
      <c r="M29" s="46">
        <f>(H29/$L$2)*100</f>
        <v>4.1265474552957355E-4</v>
      </c>
      <c r="N29" s="46" t="e">
        <f>(#REF!/$L$2)*100</f>
        <v>#REF!</v>
      </c>
      <c r="O29" s="90" t="s">
        <v>144</v>
      </c>
      <c r="S29" s="95" t="s">
        <v>194</v>
      </c>
      <c r="T29" s="101" t="s">
        <v>212</v>
      </c>
    </row>
    <row r="30" spans="1:20">
      <c r="B30" s="173"/>
      <c r="C30" s="44"/>
      <c r="D30" s="44"/>
      <c r="E30" s="44"/>
      <c r="F30" s="44"/>
      <c r="G30" s="94">
        <f>SUM(G24:G29)</f>
        <v>0.12539999999999998</v>
      </c>
      <c r="H30" s="94">
        <f>SUM(H24:H29)</f>
        <v>0.14349999999999999</v>
      </c>
      <c r="I30" s="94">
        <f>SUM(I24:I29)</f>
        <v>0.15059999999999998</v>
      </c>
      <c r="J30" s="94">
        <f>SUM(J24:J29)</f>
        <v>0.15029999999999999</v>
      </c>
      <c r="K30" s="44" t="s">
        <v>152</v>
      </c>
      <c r="L30" s="94">
        <f>SUM(L24:L29)</f>
        <v>7.0976616231086642E-2</v>
      </c>
      <c r="M30" s="94">
        <f>SUM(M24:M29)</f>
        <v>7.1664374140302606E-2</v>
      </c>
      <c r="N30" s="94" t="e">
        <f>SUM(N24:N29)</f>
        <v>#REF!</v>
      </c>
    </row>
    <row r="31" spans="1:20" ht="30">
      <c r="B31" s="173"/>
      <c r="C31" s="44"/>
      <c r="D31" s="44" t="s">
        <v>50</v>
      </c>
      <c r="E31" s="44" t="s">
        <v>53</v>
      </c>
      <c r="F31" s="44" t="s">
        <v>54</v>
      </c>
      <c r="G31" s="45">
        <v>2.2000000000000001E-3</v>
      </c>
      <c r="H31" s="45">
        <f t="shared" ref="H31" si="6">2.64%/3</f>
        <v>8.8000000000000005E-3</v>
      </c>
      <c r="I31" s="45">
        <v>2.2000000000000001E-3</v>
      </c>
      <c r="J31" s="45">
        <v>2.2000000000000001E-3</v>
      </c>
      <c r="K31" s="44" t="s">
        <v>179</v>
      </c>
      <c r="L31" s="46">
        <f>(G31/$L$2)*100</f>
        <v>3.0261348005502066E-3</v>
      </c>
      <c r="M31" s="46">
        <f>(H31/$L$2)*100</f>
        <v>1.2104539202200826E-2</v>
      </c>
      <c r="N31" s="46" t="e">
        <f>(#REF!/$L$2)*100</f>
        <v>#REF!</v>
      </c>
      <c r="O31" s="90" t="s">
        <v>144</v>
      </c>
      <c r="P31" s="90" t="s">
        <v>153</v>
      </c>
      <c r="S31" s="95" t="s">
        <v>178</v>
      </c>
    </row>
    <row r="32" spans="1:20" ht="60">
      <c r="B32" s="173"/>
      <c r="C32" s="44"/>
      <c r="D32" s="83" t="s">
        <v>50</v>
      </c>
      <c r="E32" s="83" t="s">
        <v>51</v>
      </c>
      <c r="F32" s="84" t="s">
        <v>103</v>
      </c>
      <c r="G32" s="85">
        <v>0</v>
      </c>
      <c r="H32" s="85">
        <v>0</v>
      </c>
      <c r="I32" s="85">
        <v>0</v>
      </c>
      <c r="J32" s="85">
        <v>0</v>
      </c>
      <c r="K32" s="44" t="s">
        <v>180</v>
      </c>
      <c r="L32" s="46">
        <v>0</v>
      </c>
      <c r="M32" s="46">
        <v>0</v>
      </c>
      <c r="N32" s="46">
        <v>0</v>
      </c>
      <c r="P32" s="90" t="s">
        <v>154</v>
      </c>
      <c r="R32" s="90" t="s">
        <v>157</v>
      </c>
    </row>
    <row r="33" spans="2:21" ht="153">
      <c r="B33" s="173"/>
      <c r="C33" s="44"/>
      <c r="D33" s="44" t="s">
        <v>181</v>
      </c>
      <c r="E33" s="44" t="s">
        <v>116</v>
      </c>
      <c r="F33" s="44" t="s">
        <v>117</v>
      </c>
      <c r="G33" s="108">
        <v>5.2750000000000002E-3</v>
      </c>
      <c r="H33" s="54">
        <v>2.1100000000000001E-2</v>
      </c>
      <c r="I33" s="108">
        <v>5.2750000000000002E-3</v>
      </c>
      <c r="J33" s="54">
        <v>5.3E-3</v>
      </c>
      <c r="K33" s="44" t="s">
        <v>184</v>
      </c>
      <c r="L33" s="46">
        <f>(G33/$L$2)*100</f>
        <v>7.2558459422283356E-3</v>
      </c>
      <c r="M33" s="46">
        <f>(H33/$L$2)*100</f>
        <v>2.9023383768913343E-2</v>
      </c>
      <c r="N33" s="46" t="e">
        <f>(#REF!/$L$2)*100</f>
        <v>#REF!</v>
      </c>
      <c r="P33" s="90" t="s">
        <v>155</v>
      </c>
      <c r="R33" s="90" t="s">
        <v>157</v>
      </c>
      <c r="S33" s="107" t="s">
        <v>182</v>
      </c>
      <c r="T33" s="107" t="s">
        <v>195</v>
      </c>
      <c r="U33" s="107" t="s">
        <v>183</v>
      </c>
    </row>
    <row r="34" spans="2:21" hidden="1">
      <c r="B34" s="173"/>
      <c r="C34" s="44"/>
      <c r="D34" s="44"/>
      <c r="E34" s="44"/>
      <c r="F34" s="88" t="s">
        <v>89</v>
      </c>
      <c r="G34" s="54"/>
      <c r="H34" s="54"/>
      <c r="I34" s="54"/>
      <c r="J34" s="54"/>
      <c r="K34" s="44"/>
      <c r="L34" s="46"/>
      <c r="M34" s="46"/>
      <c r="N34" s="46"/>
    </row>
    <row r="35" spans="2:21">
      <c r="B35" s="174"/>
      <c r="C35" s="44"/>
      <c r="D35" s="44" t="s">
        <v>89</v>
      </c>
      <c r="E35" s="44" t="s">
        <v>89</v>
      </c>
      <c r="F35" s="44" t="s">
        <v>89</v>
      </c>
      <c r="G35" s="56">
        <f>SUM(G31:G33)</f>
        <v>7.4750000000000007E-3</v>
      </c>
      <c r="H35" s="56">
        <f t="shared" ref="H35:J35" si="7">SUM(H31:H33)</f>
        <v>2.9900000000000003E-2</v>
      </c>
      <c r="I35" s="56">
        <f>SUM(I31:I33)</f>
        <v>7.4750000000000007E-3</v>
      </c>
      <c r="J35" s="56">
        <f t="shared" si="7"/>
        <v>7.4999999999999997E-3</v>
      </c>
      <c r="K35" s="44" t="s">
        <v>94</v>
      </c>
      <c r="L35" s="56">
        <f>SUM(L31:L33)</f>
        <v>1.0281980742778543E-2</v>
      </c>
      <c r="M35" s="56">
        <f t="shared" ref="M35:N35" si="8">SUM(M31:M33)</f>
        <v>4.1127922971114173E-2</v>
      </c>
      <c r="N35" s="56" t="e">
        <f t="shared" si="8"/>
        <v>#REF!</v>
      </c>
      <c r="O35" s="90" t="s">
        <v>89</v>
      </c>
    </row>
    <row r="36" spans="2:21" ht="45">
      <c r="B36" s="175" t="s">
        <v>93</v>
      </c>
      <c r="C36" s="35"/>
      <c r="D36" s="35" t="s">
        <v>96</v>
      </c>
      <c r="E36" s="35" t="s">
        <v>97</v>
      </c>
      <c r="F36" s="35" t="s">
        <v>98</v>
      </c>
      <c r="G36" s="36">
        <v>0</v>
      </c>
      <c r="H36" s="36">
        <v>2.1100000000000001E-2</v>
      </c>
      <c r="I36" s="36">
        <v>0</v>
      </c>
      <c r="J36" s="36">
        <v>2.1100000000000001E-2</v>
      </c>
      <c r="K36" s="35" t="s">
        <v>185</v>
      </c>
      <c r="L36" s="57">
        <v>0</v>
      </c>
      <c r="M36" s="57">
        <f>(H36/$L$2)*100</f>
        <v>2.9023383768913343E-2</v>
      </c>
      <c r="N36" s="57" t="e">
        <f>(#REF!/$L$2)*100</f>
        <v>#REF!</v>
      </c>
      <c r="O36" s="90" t="s">
        <v>156</v>
      </c>
      <c r="P36" s="90" t="s">
        <v>158</v>
      </c>
      <c r="R36" s="90" t="s">
        <v>157</v>
      </c>
      <c r="S36" s="95" t="s">
        <v>213</v>
      </c>
    </row>
    <row r="37" spans="2:21" ht="30">
      <c r="B37" s="176"/>
      <c r="C37" s="35"/>
      <c r="D37" s="35" t="s">
        <v>119</v>
      </c>
      <c r="E37" s="35" t="s">
        <v>120</v>
      </c>
      <c r="F37" s="86" t="s">
        <v>113</v>
      </c>
      <c r="G37" s="36">
        <v>0</v>
      </c>
      <c r="H37" s="109">
        <v>1.4999999999999999E-2</v>
      </c>
      <c r="I37" s="36">
        <v>0</v>
      </c>
      <c r="J37" s="109">
        <v>1.4999999999999999E-2</v>
      </c>
      <c r="K37" s="35" t="s">
        <v>196</v>
      </c>
      <c r="L37" s="57">
        <v>0</v>
      </c>
      <c r="M37" s="57">
        <f>(H37/$L$2)*100</f>
        <v>2.0632737276478678E-2</v>
      </c>
      <c r="N37" s="38">
        <v>0</v>
      </c>
    </row>
    <row r="38" spans="2:21" ht="75">
      <c r="B38" s="176"/>
      <c r="C38" s="35"/>
      <c r="D38" s="35" t="s">
        <v>96</v>
      </c>
      <c r="E38" s="35" t="s">
        <v>97</v>
      </c>
      <c r="F38" s="86" t="s">
        <v>114</v>
      </c>
      <c r="G38" s="36">
        <v>0</v>
      </c>
      <c r="H38" s="36">
        <v>0.01</v>
      </c>
      <c r="I38" s="36">
        <v>0</v>
      </c>
      <c r="J38" s="36">
        <v>0.01</v>
      </c>
      <c r="K38" s="35" t="s">
        <v>124</v>
      </c>
      <c r="L38" s="57">
        <v>0</v>
      </c>
      <c r="M38" s="57">
        <f>(H38/$L$2)*100</f>
        <v>1.3755158184319119E-2</v>
      </c>
      <c r="N38" s="57" t="e">
        <f>(#REF!/$L$2)*100</f>
        <v>#REF!</v>
      </c>
      <c r="S38" s="95" t="s">
        <v>186</v>
      </c>
      <c r="T38" s="101" t="s">
        <v>189</v>
      </c>
      <c r="U38" t="s">
        <v>89</v>
      </c>
    </row>
    <row r="39" spans="2:21" hidden="1">
      <c r="B39" s="176"/>
      <c r="C39" s="35"/>
      <c r="D39" s="35"/>
      <c r="E39" s="35"/>
      <c r="F39" s="86"/>
      <c r="G39" s="36"/>
      <c r="H39" s="36"/>
      <c r="I39" s="36"/>
      <c r="J39" s="36"/>
      <c r="K39" s="35"/>
      <c r="L39" s="37"/>
      <c r="M39" s="37"/>
      <c r="N39" s="38"/>
    </row>
    <row r="40" spans="2:21">
      <c r="B40" s="177"/>
      <c r="C40" s="35"/>
      <c r="D40" s="35"/>
      <c r="E40" s="35"/>
      <c r="F40" s="35"/>
      <c r="G40" s="57">
        <f t="shared" ref="G40:H40" si="9">SUM(G36:G38)</f>
        <v>0</v>
      </c>
      <c r="H40" s="57">
        <f t="shared" si="9"/>
        <v>4.6100000000000002E-2</v>
      </c>
      <c r="I40" s="57">
        <f t="shared" ref="I40:J40" si="10">SUM(I36:I38)</f>
        <v>0</v>
      </c>
      <c r="J40" s="57">
        <f t="shared" si="10"/>
        <v>4.6100000000000002E-2</v>
      </c>
      <c r="K40" s="35" t="s">
        <v>95</v>
      </c>
      <c r="L40" s="57">
        <f>SUM(L36:L38)</f>
        <v>0</v>
      </c>
      <c r="M40" s="57">
        <f t="shared" ref="M40:N40" si="11">SUM(M36:M38)</f>
        <v>6.341127922971114E-2</v>
      </c>
      <c r="N40" s="57" t="e">
        <f t="shared" si="11"/>
        <v>#REF!</v>
      </c>
    </row>
    <row r="41" spans="2:21" ht="45" hidden="1">
      <c r="C41" s="8" t="s">
        <v>25</v>
      </c>
      <c r="D41" s="8" t="s">
        <v>26</v>
      </c>
      <c r="E41" s="8" t="s">
        <v>27</v>
      </c>
      <c r="F41" s="8" t="s">
        <v>28</v>
      </c>
      <c r="G41" s="14">
        <v>5.9999999999999995E-4</v>
      </c>
      <c r="H41" s="14">
        <v>2.9999999999999997E-4</v>
      </c>
      <c r="I41" s="14"/>
      <c r="J41" s="14"/>
      <c r="K41" s="8" t="s">
        <v>29</v>
      </c>
      <c r="L41" s="22">
        <f t="shared" ref="L41:M46" si="12">(G41/$L$2)*100</f>
        <v>8.253094910591471E-4</v>
      </c>
      <c r="M41" s="22">
        <f t="shared" si="12"/>
        <v>4.1265474552957355E-4</v>
      </c>
      <c r="N41" s="22" t="e">
        <f>(#REF!/$L$2)*100</f>
        <v>#REF!</v>
      </c>
    </row>
    <row r="42" spans="2:21" ht="30" hidden="1">
      <c r="C42" s="8" t="s">
        <v>25</v>
      </c>
      <c r="D42" s="8" t="s">
        <v>26</v>
      </c>
      <c r="E42" s="8" t="s">
        <v>30</v>
      </c>
      <c r="F42" s="8" t="s">
        <v>31</v>
      </c>
      <c r="G42" s="14">
        <v>1.2699999999999999E-2</v>
      </c>
      <c r="H42" s="14">
        <v>1.14E-2</v>
      </c>
      <c r="I42" s="14"/>
      <c r="J42" s="14"/>
      <c r="K42" s="8" t="s">
        <v>32</v>
      </c>
      <c r="L42" s="22">
        <f t="shared" si="12"/>
        <v>1.7469050894085281E-2</v>
      </c>
      <c r="M42" s="22">
        <f t="shared" si="12"/>
        <v>1.5680880330123794E-2</v>
      </c>
      <c r="N42" s="22" t="e">
        <f>(#REF!/$L$2)*100</f>
        <v>#REF!</v>
      </c>
    </row>
    <row r="43" spans="2:21" ht="30" hidden="1">
      <c r="C43" s="8" t="s">
        <v>25</v>
      </c>
      <c r="D43" s="8" t="s">
        <v>26</v>
      </c>
      <c r="E43" s="8" t="s">
        <v>33</v>
      </c>
      <c r="F43" s="8" t="s">
        <v>34</v>
      </c>
      <c r="G43" s="14">
        <v>5.0999999999999997E-2</v>
      </c>
      <c r="H43" s="14">
        <v>5.1799999999999999E-2</v>
      </c>
      <c r="I43" s="14"/>
      <c r="J43" s="14"/>
      <c r="K43" s="8" t="s">
        <v>35</v>
      </c>
      <c r="L43" s="22">
        <f t="shared" si="12"/>
        <v>7.0151306740027494E-2</v>
      </c>
      <c r="M43" s="22">
        <f t="shared" si="12"/>
        <v>7.1251719394773039E-2</v>
      </c>
      <c r="N43" s="22" t="e">
        <f>(#REF!/$L$2)*100</f>
        <v>#REF!</v>
      </c>
    </row>
    <row r="44" spans="2:21" ht="30" hidden="1">
      <c r="C44" s="8" t="s">
        <v>25</v>
      </c>
      <c r="D44" s="8" t="s">
        <v>26</v>
      </c>
      <c r="E44" s="8" t="s">
        <v>36</v>
      </c>
      <c r="F44" s="8" t="s">
        <v>37</v>
      </c>
      <c r="G44" s="14">
        <v>1.47E-2</v>
      </c>
      <c r="H44" s="14">
        <v>1.4500000000000001E-2</v>
      </c>
      <c r="I44" s="14"/>
      <c r="J44" s="14"/>
      <c r="K44" s="8" t="s">
        <v>38</v>
      </c>
      <c r="L44" s="22">
        <f t="shared" si="12"/>
        <v>2.0220082530949104E-2</v>
      </c>
      <c r="M44" s="22">
        <f t="shared" si="12"/>
        <v>1.9944979367262725E-2</v>
      </c>
      <c r="N44" s="22" t="e">
        <f>(#REF!/$L$2)*100</f>
        <v>#REF!</v>
      </c>
    </row>
    <row r="45" spans="2:21" ht="30" hidden="1">
      <c r="C45" s="9" t="s">
        <v>25</v>
      </c>
      <c r="D45" s="9" t="s">
        <v>39</v>
      </c>
      <c r="E45" s="9" t="s">
        <v>40</v>
      </c>
      <c r="F45" s="9" t="s">
        <v>41</v>
      </c>
      <c r="G45" s="14">
        <v>7.1900000000000006E-2</v>
      </c>
      <c r="H45" s="14">
        <v>6.4000000000000001E-2</v>
      </c>
      <c r="I45" s="14"/>
      <c r="J45" s="14"/>
      <c r="K45" s="8" t="s">
        <v>42</v>
      </c>
      <c r="L45" s="22">
        <f t="shared" si="12"/>
        <v>9.8899587345254475E-2</v>
      </c>
      <c r="M45" s="22">
        <f t="shared" si="12"/>
        <v>8.8033012379642367E-2</v>
      </c>
      <c r="N45" s="22" t="e">
        <f>(#REF!/$L$2)*100</f>
        <v>#REF!</v>
      </c>
    </row>
    <row r="46" spans="2:21" ht="30" hidden="1">
      <c r="C46" s="8" t="s">
        <v>25</v>
      </c>
      <c r="D46" s="8" t="s">
        <v>39</v>
      </c>
      <c r="E46" s="8" t="s">
        <v>43</v>
      </c>
      <c r="F46" s="8" t="s">
        <v>44</v>
      </c>
      <c r="G46" s="47">
        <v>2.5538591429083229E-4</v>
      </c>
      <c r="H46" s="34">
        <v>2.5538591429083229E-4</v>
      </c>
      <c r="I46" s="34"/>
      <c r="J46" s="34"/>
      <c r="K46" s="8" t="s">
        <v>67</v>
      </c>
      <c r="L46" s="48">
        <f t="shared" si="12"/>
        <v>3.5128736491173628E-4</v>
      </c>
      <c r="M46" s="48">
        <f t="shared" si="12"/>
        <v>3.5128736491173628E-4</v>
      </c>
      <c r="N46" s="48" t="e">
        <f>(#REF!/$L$2)*100</f>
        <v>#REF!</v>
      </c>
    </row>
    <row r="47" spans="2:21" ht="45" hidden="1">
      <c r="B47" s="159" t="s">
        <v>25</v>
      </c>
      <c r="C47" s="160" t="s">
        <v>99</v>
      </c>
      <c r="D47" s="58" t="s">
        <v>26</v>
      </c>
      <c r="E47" s="59" t="s">
        <v>27</v>
      </c>
      <c r="F47" s="58" t="s">
        <v>28</v>
      </c>
      <c r="G47" s="60" t="s">
        <v>100</v>
      </c>
      <c r="H47" s="60" t="s">
        <v>100</v>
      </c>
      <c r="I47" s="60"/>
      <c r="J47" s="60"/>
      <c r="K47" s="60"/>
      <c r="L47" s="60">
        <v>0</v>
      </c>
      <c r="M47" s="60">
        <v>0</v>
      </c>
      <c r="N47" s="61">
        <v>0.3</v>
      </c>
      <c r="O47" s="61">
        <v>0.6</v>
      </c>
      <c r="P47" s="61"/>
      <c r="Q47" s="62">
        <v>0.61392802963845772</v>
      </c>
      <c r="R47" s="60" t="s">
        <v>29</v>
      </c>
    </row>
    <row r="48" spans="2:21" ht="30" hidden="1">
      <c r="B48" s="160"/>
      <c r="C48" s="160"/>
      <c r="D48" s="58" t="s">
        <v>26</v>
      </c>
      <c r="E48" s="59" t="s">
        <v>30</v>
      </c>
      <c r="F48" s="58" t="s">
        <v>31</v>
      </c>
      <c r="G48" s="60" t="s">
        <v>100</v>
      </c>
      <c r="H48" s="60" t="s">
        <v>100</v>
      </c>
      <c r="I48" s="60"/>
      <c r="J48" s="60"/>
      <c r="K48" s="60"/>
      <c r="L48" s="60">
        <v>0</v>
      </c>
      <c r="M48" s="60">
        <v>0</v>
      </c>
      <c r="N48" s="61">
        <v>1.27</v>
      </c>
      <c r="O48" s="61">
        <v>1.1399999999999999</v>
      </c>
      <c r="P48" s="61"/>
      <c r="Q48" s="60">
        <v>1.1399999999999999</v>
      </c>
      <c r="R48" s="60" t="s">
        <v>32</v>
      </c>
    </row>
    <row r="49" spans="2:18" ht="30" hidden="1">
      <c r="B49" s="160"/>
      <c r="C49" s="160"/>
      <c r="D49" s="58" t="s">
        <v>26</v>
      </c>
      <c r="E49" s="59" t="s">
        <v>33</v>
      </c>
      <c r="F49" s="58" t="s">
        <v>34</v>
      </c>
      <c r="G49" s="60" t="s">
        <v>100</v>
      </c>
      <c r="H49" s="60" t="s">
        <v>100</v>
      </c>
      <c r="I49" s="60"/>
      <c r="J49" s="60"/>
      <c r="K49" s="60"/>
      <c r="L49" s="60">
        <v>0</v>
      </c>
      <c r="M49" s="60">
        <v>0</v>
      </c>
      <c r="N49" s="61">
        <v>5.0999999999999996</v>
      </c>
      <c r="O49" s="61">
        <v>5.18</v>
      </c>
      <c r="P49" s="61"/>
      <c r="Q49" s="62">
        <v>5.18</v>
      </c>
      <c r="R49" s="60" t="s">
        <v>35</v>
      </c>
    </row>
    <row r="50" spans="2:18" hidden="1">
      <c r="B50" s="160"/>
      <c r="C50" s="58"/>
      <c r="D50" s="58"/>
      <c r="E50" s="59"/>
      <c r="F50" s="58"/>
      <c r="G50" s="60"/>
      <c r="H50" s="60"/>
      <c r="I50" s="60"/>
      <c r="J50" s="60"/>
      <c r="K50" s="60"/>
      <c r="L50" s="60"/>
      <c r="M50" s="60"/>
      <c r="N50" s="61"/>
      <c r="O50" s="61"/>
      <c r="P50" s="61"/>
      <c r="Q50" s="62"/>
      <c r="R50" s="60"/>
    </row>
    <row r="51" spans="2:18" hidden="1">
      <c r="B51" s="160"/>
      <c r="C51" s="58"/>
      <c r="D51" s="58"/>
      <c r="E51" s="59"/>
      <c r="F51" s="58"/>
      <c r="G51" s="60"/>
      <c r="H51" s="60"/>
      <c r="I51" s="60"/>
      <c r="J51" s="60"/>
      <c r="K51" s="60"/>
      <c r="L51" s="60"/>
      <c r="M51" s="60"/>
      <c r="N51" s="61"/>
      <c r="O51" s="61"/>
      <c r="P51" s="61"/>
      <c r="Q51" s="62"/>
      <c r="R51" s="60"/>
    </row>
    <row r="52" spans="2:18" hidden="1">
      <c r="B52" s="160"/>
      <c r="C52" s="58"/>
      <c r="D52" s="58"/>
      <c r="E52" s="59"/>
      <c r="F52" s="58"/>
      <c r="G52" s="60"/>
      <c r="H52" s="60"/>
      <c r="I52" s="60"/>
      <c r="J52" s="60"/>
      <c r="K52" s="60"/>
      <c r="L52" s="60"/>
      <c r="M52" s="60"/>
      <c r="N52" s="61"/>
      <c r="O52" s="61"/>
      <c r="P52" s="61"/>
      <c r="Q52" s="62"/>
      <c r="R52" s="60"/>
    </row>
    <row r="53" spans="2:18" hidden="1">
      <c r="B53" s="160"/>
      <c r="C53" s="63"/>
      <c r="D53" s="63"/>
      <c r="E53" s="64"/>
      <c r="F53" s="63"/>
      <c r="G53" s="65"/>
      <c r="H53" s="65"/>
      <c r="I53" s="65"/>
      <c r="J53" s="65"/>
      <c r="K53" s="65"/>
      <c r="L53" s="65"/>
      <c r="M53" s="65"/>
      <c r="N53" s="66"/>
      <c r="O53" s="66"/>
      <c r="P53" s="66"/>
      <c r="Q53" s="67"/>
      <c r="R53" s="65"/>
    </row>
    <row r="54" spans="2:18" ht="30" hidden="1">
      <c r="B54" s="160"/>
      <c r="C54" s="181" t="s">
        <v>101</v>
      </c>
      <c r="D54" s="68" t="s">
        <v>39</v>
      </c>
      <c r="E54" s="64" t="s">
        <v>40</v>
      </c>
      <c r="F54" s="68" t="s">
        <v>41</v>
      </c>
      <c r="G54" s="69" t="s">
        <v>100</v>
      </c>
      <c r="H54" s="69" t="s">
        <v>100</v>
      </c>
      <c r="I54" s="69"/>
      <c r="J54" s="69"/>
      <c r="K54" s="69"/>
      <c r="L54" s="69"/>
      <c r="M54" s="69"/>
      <c r="N54" s="70">
        <v>7.19</v>
      </c>
      <c r="O54" s="71">
        <v>6.4</v>
      </c>
      <c r="P54" s="71"/>
      <c r="Q54" s="72">
        <v>7.74</v>
      </c>
      <c r="R54" s="73" t="s">
        <v>42</v>
      </c>
    </row>
    <row r="55" spans="2:18" ht="30" hidden="1">
      <c r="B55" s="160"/>
      <c r="C55" s="160"/>
      <c r="D55" s="68" t="s">
        <v>39</v>
      </c>
      <c r="E55" s="74" t="s">
        <v>43</v>
      </c>
      <c r="F55" s="74" t="s">
        <v>44</v>
      </c>
      <c r="G55" s="69"/>
      <c r="H55" s="69"/>
      <c r="I55" s="69"/>
      <c r="J55" s="69"/>
      <c r="K55" s="69"/>
      <c r="L55" s="69"/>
      <c r="M55" s="69"/>
      <c r="N55" s="75" t="s">
        <v>89</v>
      </c>
      <c r="O55" s="75"/>
      <c r="P55" s="75"/>
      <c r="Q55" s="75"/>
      <c r="R55" s="69"/>
    </row>
    <row r="56" spans="2:18" ht="45" hidden="1">
      <c r="B56" s="160"/>
      <c r="C56" s="160"/>
      <c r="D56" s="68" t="s">
        <v>39</v>
      </c>
      <c r="E56" s="74" t="s">
        <v>45</v>
      </c>
      <c r="F56" s="68" t="s">
        <v>46</v>
      </c>
      <c r="G56" s="69"/>
      <c r="H56" s="69"/>
      <c r="I56" s="69"/>
      <c r="J56" s="69"/>
      <c r="K56" s="69"/>
      <c r="L56" s="69"/>
      <c r="M56" s="69"/>
      <c r="N56" s="76">
        <v>0</v>
      </c>
      <c r="O56" s="76"/>
      <c r="P56" s="76"/>
      <c r="Q56" s="76">
        <v>0</v>
      </c>
      <c r="R56" s="69"/>
    </row>
    <row r="57" spans="2:18" ht="30" hidden="1">
      <c r="B57" s="160"/>
      <c r="C57" s="161"/>
      <c r="D57" s="68" t="s">
        <v>39</v>
      </c>
      <c r="E57" s="74" t="s">
        <v>102</v>
      </c>
      <c r="F57" s="74" t="s">
        <v>44</v>
      </c>
      <c r="G57" s="69" t="s">
        <v>100</v>
      </c>
      <c r="H57" s="69" t="s">
        <v>100</v>
      </c>
      <c r="I57" s="69"/>
      <c r="J57" s="69"/>
      <c r="K57" s="69"/>
      <c r="L57" s="69"/>
      <c r="M57" s="69"/>
      <c r="N57" s="76"/>
      <c r="O57" s="76"/>
      <c r="P57" s="76"/>
      <c r="Q57" s="76"/>
      <c r="R57" s="69"/>
    </row>
    <row r="58" spans="2:18" hidden="1">
      <c r="B58" s="160"/>
      <c r="C58" s="68"/>
      <c r="D58" s="68"/>
      <c r="E58" s="74"/>
      <c r="F58" s="68"/>
      <c r="G58" s="69"/>
      <c r="H58" s="69"/>
      <c r="I58" s="69"/>
      <c r="J58" s="69"/>
      <c r="K58" s="69"/>
      <c r="L58" s="69"/>
      <c r="M58" s="69"/>
      <c r="N58" s="76"/>
      <c r="O58" s="76"/>
      <c r="P58" s="76"/>
      <c r="Q58" s="76"/>
      <c r="R58" s="69"/>
    </row>
    <row r="59" spans="2:18" ht="60" hidden="1">
      <c r="B59" s="160"/>
      <c r="C59" s="181" t="s">
        <v>94</v>
      </c>
      <c r="D59" s="74" t="s">
        <v>50</v>
      </c>
      <c r="E59" s="74" t="s">
        <v>51</v>
      </c>
      <c r="F59" s="68" t="s">
        <v>103</v>
      </c>
      <c r="G59" s="69" t="s">
        <v>100</v>
      </c>
      <c r="H59" s="69" t="s">
        <v>100</v>
      </c>
      <c r="I59" s="69"/>
      <c r="J59" s="69"/>
      <c r="K59" s="77">
        <v>1.3299999999999999E-2</v>
      </c>
      <c r="L59" s="69"/>
      <c r="M59" s="69"/>
      <c r="N59" s="78">
        <v>0.36349999999999999</v>
      </c>
      <c r="O59" s="89">
        <v>0.96689999999999998</v>
      </c>
      <c r="P59" s="89"/>
      <c r="Q59" s="76">
        <v>0</v>
      </c>
      <c r="R59" s="69"/>
    </row>
    <row r="60" spans="2:18" ht="30" hidden="1">
      <c r="B60" s="160"/>
      <c r="C60" s="160"/>
      <c r="D60" s="74" t="s">
        <v>50</v>
      </c>
      <c r="E60" s="74" t="s">
        <v>53</v>
      </c>
      <c r="F60" s="68" t="s">
        <v>54</v>
      </c>
      <c r="G60" s="69" t="s">
        <v>100</v>
      </c>
      <c r="H60" s="69" t="s">
        <v>100</v>
      </c>
      <c r="I60" s="69"/>
      <c r="J60" s="69"/>
      <c r="K60" s="77">
        <v>6.4999999999999997E-3</v>
      </c>
      <c r="L60" s="69">
        <v>0.23</v>
      </c>
      <c r="M60" s="69">
        <v>0.47</v>
      </c>
      <c r="N60" s="69">
        <v>0.23</v>
      </c>
      <c r="O60" s="69">
        <v>0.47</v>
      </c>
      <c r="P60" s="69"/>
      <c r="Q60" s="69">
        <v>2.64</v>
      </c>
      <c r="R60" s="69"/>
    </row>
    <row r="61" spans="2:18" ht="45" hidden="1">
      <c r="B61" s="160"/>
      <c r="C61" s="160"/>
      <c r="D61" s="74" t="s">
        <v>104</v>
      </c>
      <c r="E61" s="74" t="s">
        <v>105</v>
      </c>
      <c r="F61" s="68" t="s">
        <v>106</v>
      </c>
      <c r="G61" s="69" t="s">
        <v>107</v>
      </c>
      <c r="H61" s="69" t="s">
        <v>100</v>
      </c>
      <c r="I61" s="69"/>
      <c r="J61" s="69"/>
      <c r="K61" s="69"/>
      <c r="L61" s="69"/>
      <c r="M61" s="69"/>
      <c r="N61" s="69">
        <v>0.23</v>
      </c>
      <c r="O61" s="69">
        <v>0.47</v>
      </c>
      <c r="P61" s="69"/>
      <c r="Q61" s="69"/>
      <c r="R61" s="69"/>
    </row>
    <row r="62" spans="2:18" ht="30" hidden="1">
      <c r="B62" s="160"/>
      <c r="C62" s="161"/>
      <c r="D62" s="74" t="s">
        <v>104</v>
      </c>
      <c r="E62" s="74" t="s">
        <v>108</v>
      </c>
      <c r="F62" s="68" t="s">
        <v>109</v>
      </c>
      <c r="G62" s="69" t="s">
        <v>107</v>
      </c>
      <c r="H62" s="69" t="s">
        <v>107</v>
      </c>
      <c r="I62" s="69"/>
      <c r="J62" s="69"/>
      <c r="K62" s="69"/>
      <c r="L62" s="69"/>
      <c r="M62" s="69"/>
      <c r="N62" s="69">
        <v>0.23</v>
      </c>
      <c r="O62" s="69">
        <v>0.47</v>
      </c>
      <c r="P62" s="69"/>
      <c r="Q62" s="69"/>
      <c r="R62" s="69"/>
    </row>
    <row r="63" spans="2:18" hidden="1">
      <c r="B63" s="160"/>
      <c r="C63" s="68"/>
      <c r="D63" s="74"/>
      <c r="E63" s="74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2:18" ht="30" hidden="1">
      <c r="B64" s="160"/>
      <c r="C64" s="181" t="s">
        <v>110</v>
      </c>
      <c r="D64" s="79" t="s">
        <v>55</v>
      </c>
      <c r="E64" s="79" t="s">
        <v>55</v>
      </c>
      <c r="F64" s="80" t="s">
        <v>56</v>
      </c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2:18" ht="30" hidden="1">
      <c r="B65" s="160"/>
      <c r="C65" s="160"/>
      <c r="D65" s="63" t="s">
        <v>26</v>
      </c>
      <c r="E65" s="64" t="s">
        <v>36</v>
      </c>
      <c r="F65" s="63" t="s">
        <v>37</v>
      </c>
      <c r="G65" s="65" t="s">
        <v>100</v>
      </c>
      <c r="H65" s="65" t="s">
        <v>100</v>
      </c>
      <c r="I65" s="65"/>
      <c r="J65" s="65"/>
      <c r="K65" s="65"/>
      <c r="L65" s="65"/>
      <c r="M65" s="65"/>
      <c r="N65" s="66">
        <v>1.47</v>
      </c>
      <c r="O65" s="66">
        <v>1.45</v>
      </c>
      <c r="P65" s="66"/>
      <c r="Q65" s="67">
        <v>5.21</v>
      </c>
      <c r="R65" s="65" t="s">
        <v>38</v>
      </c>
    </row>
    <row r="66" spans="2:18" ht="75" hidden="1">
      <c r="B66" s="160"/>
      <c r="C66" s="160"/>
      <c r="D66" s="79" t="s">
        <v>111</v>
      </c>
      <c r="E66" s="79" t="s">
        <v>58</v>
      </c>
      <c r="F66" s="80" t="s">
        <v>59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</row>
    <row r="67" spans="2:18" hidden="1">
      <c r="B67" s="160"/>
      <c r="C67" s="160"/>
      <c r="D67" s="79" t="s">
        <v>89</v>
      </c>
      <c r="E67" s="79" t="s">
        <v>89</v>
      </c>
      <c r="F67" s="80" t="s">
        <v>112</v>
      </c>
      <c r="G67" s="81" t="s">
        <v>100</v>
      </c>
      <c r="H67" s="81" t="s">
        <v>100</v>
      </c>
      <c r="I67" s="81"/>
      <c r="J67" s="81"/>
      <c r="K67" s="81"/>
      <c r="L67" s="81"/>
      <c r="M67" s="81"/>
      <c r="N67" s="82">
        <v>0.35560000000000003</v>
      </c>
      <c r="O67" s="92">
        <v>0.72499999999999998</v>
      </c>
      <c r="P67" s="92"/>
      <c r="Q67" s="81">
        <v>0</v>
      </c>
      <c r="R67" s="69"/>
    </row>
    <row r="68" spans="2:18" hidden="1">
      <c r="B68" s="160"/>
      <c r="C68" s="160"/>
      <c r="D68" s="79"/>
      <c r="E68" s="79"/>
      <c r="F68" s="80" t="s">
        <v>113</v>
      </c>
      <c r="G68" s="81" t="s">
        <v>107</v>
      </c>
      <c r="H68" s="81" t="s">
        <v>100</v>
      </c>
      <c r="I68" s="81"/>
      <c r="J68" s="81"/>
      <c r="K68" s="81"/>
      <c r="L68" s="81"/>
      <c r="M68" s="81"/>
      <c r="N68" s="81"/>
      <c r="O68" s="69"/>
      <c r="P68" s="69"/>
      <c r="Q68" s="81"/>
      <c r="R68" s="69"/>
    </row>
    <row r="69" spans="2:18" ht="30" hidden="1">
      <c r="B69" s="160"/>
      <c r="C69" s="160"/>
      <c r="D69" s="79"/>
      <c r="E69" s="79"/>
      <c r="F69" s="80" t="s">
        <v>114</v>
      </c>
      <c r="G69" s="81" t="s">
        <v>107</v>
      </c>
      <c r="H69" s="81" t="s">
        <v>100</v>
      </c>
      <c r="I69" s="81"/>
      <c r="J69" s="81"/>
      <c r="K69" s="81"/>
      <c r="L69" s="81"/>
      <c r="M69" s="81"/>
      <c r="N69" s="81"/>
      <c r="O69" s="69"/>
      <c r="P69" s="69"/>
      <c r="Q69" s="81"/>
      <c r="R69" s="69"/>
    </row>
    <row r="70" spans="2:18" hidden="1">
      <c r="B70" s="160"/>
      <c r="C70" s="160"/>
      <c r="D70" s="79"/>
      <c r="E70" s="79"/>
      <c r="F70" s="80"/>
      <c r="G70" s="81"/>
      <c r="H70" s="81"/>
      <c r="I70" s="81"/>
      <c r="J70" s="81"/>
      <c r="K70" s="81"/>
      <c r="L70" s="81"/>
      <c r="M70" s="81"/>
      <c r="N70" s="81"/>
      <c r="O70" s="69"/>
      <c r="P70" s="69"/>
      <c r="Q70" s="81"/>
      <c r="R70" s="69"/>
    </row>
    <row r="71" spans="2:18" hidden="1">
      <c r="B71" s="160"/>
      <c r="C71" s="160"/>
      <c r="D71" s="79"/>
      <c r="E71" s="79"/>
      <c r="F71" s="80"/>
      <c r="G71" s="81"/>
      <c r="H71" s="81"/>
      <c r="I71" s="81"/>
      <c r="J71" s="81"/>
      <c r="K71" s="81"/>
      <c r="L71" s="81"/>
      <c r="M71" s="81"/>
      <c r="N71" s="81"/>
      <c r="O71" s="69"/>
      <c r="P71" s="69"/>
      <c r="Q71" s="81"/>
      <c r="R71" s="69"/>
    </row>
    <row r="72" spans="2:18" hidden="1">
      <c r="B72" s="161"/>
      <c r="C72" s="161"/>
      <c r="D72" s="79" t="s">
        <v>89</v>
      </c>
      <c r="E72" s="79" t="s">
        <v>89</v>
      </c>
      <c r="F72" s="80" t="s">
        <v>115</v>
      </c>
      <c r="G72" s="81" t="s">
        <v>107</v>
      </c>
      <c r="H72" s="81" t="s">
        <v>100</v>
      </c>
      <c r="I72" s="81"/>
      <c r="J72" s="81"/>
      <c r="K72" s="81"/>
      <c r="L72" s="81"/>
      <c r="M72" s="81"/>
      <c r="N72" s="81">
        <v>0</v>
      </c>
      <c r="O72" s="69"/>
      <c r="P72" s="69"/>
      <c r="Q72" s="81">
        <v>0</v>
      </c>
      <c r="R72" s="69"/>
    </row>
    <row r="74" spans="2:18" s="101" customFormat="1" ht="27" customHeight="1">
      <c r="F74" s="101" t="s">
        <v>159</v>
      </c>
      <c r="G74" s="101" t="s">
        <v>202</v>
      </c>
      <c r="H74" s="101" t="s">
        <v>130</v>
      </c>
      <c r="I74" s="101" t="s">
        <v>203</v>
      </c>
      <c r="J74" s="101" t="s">
        <v>204</v>
      </c>
      <c r="L74" s="114" t="s">
        <v>129</v>
      </c>
      <c r="M74" s="114" t="s">
        <v>130</v>
      </c>
      <c r="N74" s="114" t="s">
        <v>130</v>
      </c>
    </row>
    <row r="75" spans="2:18">
      <c r="G75" s="87">
        <f>G12+G17+G23+G30+G35+G40</f>
        <v>0.23112582023581052</v>
      </c>
      <c r="H75" s="87">
        <f>H12+H17+H23+H30+H35+H40</f>
        <v>0.35024889087002031</v>
      </c>
      <c r="I75" s="87">
        <f>I12+I17+I23+I30+I35+I40</f>
        <v>0.25632582023581052</v>
      </c>
      <c r="J75" s="87">
        <f>J12+J17+J23+J30+J35+J40</f>
        <v>0.35464889087002038</v>
      </c>
      <c r="K75" t="s">
        <v>118</v>
      </c>
      <c r="L75" s="106">
        <f>L12+L17+L23+L30+L35+L40</f>
        <v>0.21640415438213273</v>
      </c>
      <c r="M75" s="106">
        <f>M12+M17+M23+M30+M35+M40</f>
        <v>0.35605074397526865</v>
      </c>
      <c r="N75" s="106" t="e">
        <f>N12+N17+N23+N30+N35+N40</f>
        <v>#REF!</v>
      </c>
    </row>
    <row r="76" spans="2:18">
      <c r="L76" s="105"/>
      <c r="M76" s="105"/>
      <c r="N76" s="105"/>
    </row>
    <row r="77" spans="2:18">
      <c r="I77" s="115">
        <f>(I75/G75)-1</f>
        <v>0.10903152219985301</v>
      </c>
      <c r="J77" s="115">
        <f>(J75/H75)-1</f>
        <v>1.2562495170421295E-2</v>
      </c>
      <c r="L77" s="105"/>
      <c r="M77" s="105"/>
      <c r="N77" s="105"/>
    </row>
    <row r="84" spans="3:10">
      <c r="C84" t="s">
        <v>89</v>
      </c>
    </row>
    <row r="85" spans="3:10">
      <c r="J85" s="1" t="s">
        <v>89</v>
      </c>
    </row>
  </sheetData>
  <mergeCells count="17">
    <mergeCell ref="U6:U11"/>
    <mergeCell ref="C47:C49"/>
    <mergeCell ref="C54:C57"/>
    <mergeCell ref="C59:C62"/>
    <mergeCell ref="C64:C72"/>
    <mergeCell ref="T24:T28"/>
    <mergeCell ref="G1:H2"/>
    <mergeCell ref="B18:B23"/>
    <mergeCell ref="B24:B35"/>
    <mergeCell ref="B36:B40"/>
    <mergeCell ref="B5:B12"/>
    <mergeCell ref="B47:B72"/>
    <mergeCell ref="Q14:Q16"/>
    <mergeCell ref="D14:D16"/>
    <mergeCell ref="E14:E16"/>
    <mergeCell ref="L3:N3"/>
    <mergeCell ref="B13:B17"/>
  </mergeCells>
  <pageMargins left="0.7" right="0.7" top="0.75" bottom="0.75" header="0.3" footer="0.3"/>
  <pageSetup orientation="portrait" horizontalDpi="4294967293" verticalDpi="4294967293" r:id="rId1"/>
  <headerFooter>
    <oddFooter>&amp;L&amp;1#&amp;"Calibri"&amp;10&amp;K737373Caterpillar: Confidential Green</oddFooter>
  </headerFooter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1"/>
  <sheetViews>
    <sheetView showGridLines="0" topLeftCell="D1" workbookViewId="0">
      <selection activeCell="J10" sqref="J10"/>
    </sheetView>
  </sheetViews>
  <sheetFormatPr defaultRowHeight="15"/>
  <cols>
    <col min="1" max="1" width="3.140625" customWidth="1"/>
    <col min="2" max="2" width="17.5703125" customWidth="1"/>
    <col min="3" max="3" width="29.7109375" customWidth="1"/>
    <col min="4" max="4" width="20.5703125" customWidth="1"/>
    <col min="5" max="5" width="41.85546875" customWidth="1"/>
    <col min="6" max="6" width="15" style="1" customWidth="1"/>
    <col min="7" max="7" width="17.85546875" style="1" customWidth="1"/>
    <col min="8" max="8" width="15.28515625" style="1" customWidth="1"/>
    <col min="9" max="9" width="32" customWidth="1"/>
    <col min="10" max="11" width="14.28515625" bestFit="1" customWidth="1"/>
  </cols>
  <sheetData>
    <row r="3" spans="2:11" ht="30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4" t="s">
        <v>5</v>
      </c>
      <c r="H3" s="4" t="s">
        <v>6</v>
      </c>
      <c r="I3" s="3" t="s">
        <v>7</v>
      </c>
    </row>
    <row r="4" spans="2:11" ht="30" hidden="1">
      <c r="B4" s="5" t="s">
        <v>8</v>
      </c>
      <c r="C4" s="5" t="s">
        <v>9</v>
      </c>
      <c r="D4" s="5" t="s">
        <v>10</v>
      </c>
      <c r="E4" s="5" t="s">
        <v>11</v>
      </c>
      <c r="F4" s="6">
        <v>0</v>
      </c>
      <c r="G4" s="15">
        <v>266292.75</v>
      </c>
      <c r="H4" s="15">
        <v>43234.460000000006</v>
      </c>
      <c r="I4" s="5" t="s">
        <v>65</v>
      </c>
      <c r="J4" s="2"/>
      <c r="K4" s="2"/>
    </row>
    <row r="5" spans="2:11" ht="45">
      <c r="B5" s="5" t="s">
        <v>8</v>
      </c>
      <c r="C5" s="5" t="s">
        <v>9</v>
      </c>
      <c r="D5" s="5" t="s">
        <v>12</v>
      </c>
      <c r="E5" s="5" t="s">
        <v>13</v>
      </c>
      <c r="F5" s="7">
        <v>34315.489644686932</v>
      </c>
      <c r="G5" s="7">
        <v>1337600.470355313</v>
      </c>
      <c r="H5" s="15">
        <v>269525.62</v>
      </c>
      <c r="I5" s="5" t="s">
        <v>60</v>
      </c>
      <c r="J5" s="2"/>
      <c r="K5" s="2"/>
    </row>
    <row r="6" spans="2:11" ht="60">
      <c r="B6" s="5" t="s">
        <v>8</v>
      </c>
      <c r="C6" s="5" t="s">
        <v>9</v>
      </c>
      <c r="D6" s="5" t="s">
        <v>14</v>
      </c>
      <c r="E6" s="5" t="s">
        <v>15</v>
      </c>
      <c r="F6" s="16">
        <v>78731.938181818186</v>
      </c>
      <c r="G6" s="16">
        <v>137780.89181818182</v>
      </c>
      <c r="H6" s="15">
        <v>162351.27999999994</v>
      </c>
      <c r="I6" s="5" t="s">
        <v>66</v>
      </c>
      <c r="J6" s="2"/>
      <c r="K6" s="2"/>
    </row>
    <row r="7" spans="2:11" ht="60">
      <c r="B7" s="5" t="s">
        <v>8</v>
      </c>
      <c r="C7" s="5" t="s">
        <v>9</v>
      </c>
      <c r="D7" s="5" t="s">
        <v>16</v>
      </c>
      <c r="E7" s="5" t="s">
        <v>17</v>
      </c>
      <c r="F7" s="6">
        <v>0</v>
      </c>
      <c r="G7" s="15">
        <v>187359.43999999997</v>
      </c>
      <c r="H7" s="15">
        <v>22935.500000000004</v>
      </c>
      <c r="I7" s="5" t="s">
        <v>63</v>
      </c>
      <c r="J7" s="2"/>
      <c r="K7" s="2"/>
    </row>
    <row r="8" spans="2:11" ht="45">
      <c r="B8" s="5" t="s">
        <v>8</v>
      </c>
      <c r="C8" s="5" t="s">
        <v>18</v>
      </c>
      <c r="D8" s="5" t="s">
        <v>19</v>
      </c>
      <c r="E8" s="5" t="s">
        <v>20</v>
      </c>
      <c r="F8" s="6">
        <v>0</v>
      </c>
      <c r="G8" s="15">
        <v>9617.32</v>
      </c>
      <c r="H8" s="15">
        <v>3471.6000000000004</v>
      </c>
      <c r="I8" s="5" t="s">
        <v>62</v>
      </c>
      <c r="J8" s="2"/>
      <c r="K8" s="2"/>
    </row>
    <row r="9" spans="2:11" ht="30">
      <c r="B9" s="5" t="s">
        <v>8</v>
      </c>
      <c r="C9" s="5" t="s">
        <v>18</v>
      </c>
      <c r="D9" s="5" t="s">
        <v>21</v>
      </c>
      <c r="E9" s="5" t="s">
        <v>22</v>
      </c>
      <c r="F9" s="6">
        <v>0</v>
      </c>
      <c r="G9" s="15">
        <v>-28244.18</v>
      </c>
      <c r="H9" s="15">
        <v>31058.41</v>
      </c>
      <c r="I9" s="5" t="s">
        <v>64</v>
      </c>
      <c r="J9" s="2"/>
      <c r="K9" s="2"/>
    </row>
    <row r="10" spans="2:11" ht="60">
      <c r="B10" s="5" t="s">
        <v>8</v>
      </c>
      <c r="C10" s="5" t="s">
        <v>18</v>
      </c>
      <c r="D10" s="5" t="s">
        <v>23</v>
      </c>
      <c r="E10" s="5" t="s">
        <v>24</v>
      </c>
      <c r="F10" s="16">
        <v>48237.082717712277</v>
      </c>
      <c r="G10" s="16">
        <v>161909.02851758903</v>
      </c>
      <c r="H10" s="16">
        <v>48011.389624090938</v>
      </c>
      <c r="I10" s="5" t="s">
        <v>61</v>
      </c>
      <c r="J10" s="2"/>
      <c r="K10" s="2"/>
    </row>
    <row r="11" spans="2:11" ht="45">
      <c r="B11" s="9" t="s">
        <v>25</v>
      </c>
      <c r="C11" s="9" t="s">
        <v>26</v>
      </c>
      <c r="D11" s="9" t="s">
        <v>27</v>
      </c>
      <c r="E11" s="9" t="s">
        <v>28</v>
      </c>
      <c r="F11" s="10" t="s">
        <v>69</v>
      </c>
      <c r="G11" s="10" t="s">
        <v>75</v>
      </c>
      <c r="H11" s="10" t="s">
        <v>80</v>
      </c>
      <c r="I11" s="9" t="s">
        <v>29</v>
      </c>
    </row>
    <row r="12" spans="2:11" ht="30">
      <c r="B12" s="9" t="s">
        <v>25</v>
      </c>
      <c r="C12" s="9" t="s">
        <v>26</v>
      </c>
      <c r="D12" s="9" t="s">
        <v>30</v>
      </c>
      <c r="E12" s="9" t="s">
        <v>31</v>
      </c>
      <c r="F12" s="10" t="s">
        <v>70</v>
      </c>
      <c r="G12" s="10" t="s">
        <v>76</v>
      </c>
      <c r="H12" s="10" t="s">
        <v>76</v>
      </c>
      <c r="I12" s="9" t="s">
        <v>32</v>
      </c>
    </row>
    <row r="13" spans="2:11" ht="30">
      <c r="B13" s="9" t="s">
        <v>25</v>
      </c>
      <c r="C13" s="9" t="s">
        <v>26</v>
      </c>
      <c r="D13" s="9" t="s">
        <v>33</v>
      </c>
      <c r="E13" s="9" t="s">
        <v>34</v>
      </c>
      <c r="F13" s="10" t="s">
        <v>71</v>
      </c>
      <c r="G13" s="10" t="s">
        <v>77</v>
      </c>
      <c r="H13" s="10" t="s">
        <v>77</v>
      </c>
      <c r="I13" s="9" t="s">
        <v>35</v>
      </c>
    </row>
    <row r="14" spans="2:11" ht="30">
      <c r="B14" s="9" t="s">
        <v>25</v>
      </c>
      <c r="C14" s="9" t="s">
        <v>26</v>
      </c>
      <c r="D14" s="9" t="s">
        <v>36</v>
      </c>
      <c r="E14" s="9" t="s">
        <v>37</v>
      </c>
      <c r="F14" s="10" t="s">
        <v>72</v>
      </c>
      <c r="G14" s="10" t="s">
        <v>78</v>
      </c>
      <c r="H14" s="10" t="s">
        <v>81</v>
      </c>
      <c r="I14" s="9" t="s">
        <v>38</v>
      </c>
    </row>
    <row r="15" spans="2:11" ht="30">
      <c r="B15" s="9" t="s">
        <v>25</v>
      </c>
      <c r="C15" s="9" t="s">
        <v>39</v>
      </c>
      <c r="D15" s="9" t="s">
        <v>40</v>
      </c>
      <c r="E15" s="9" t="s">
        <v>41</v>
      </c>
      <c r="F15" s="10" t="s">
        <v>73</v>
      </c>
      <c r="G15" s="10" t="s">
        <v>79</v>
      </c>
      <c r="H15" s="10" t="s">
        <v>82</v>
      </c>
      <c r="I15" s="9" t="s">
        <v>42</v>
      </c>
    </row>
    <row r="16" spans="2:11" ht="30">
      <c r="B16" s="11" t="s">
        <v>25</v>
      </c>
      <c r="C16" s="11" t="s">
        <v>39</v>
      </c>
      <c r="D16" s="11" t="s">
        <v>43</v>
      </c>
      <c r="E16" s="11" t="s">
        <v>44</v>
      </c>
      <c r="F16" s="12">
        <v>84788.02960084776</v>
      </c>
      <c r="G16" s="12">
        <v>84788.02960084776</v>
      </c>
      <c r="H16" s="12">
        <v>84788.02960084776</v>
      </c>
      <c r="I16" s="11" t="s">
        <v>67</v>
      </c>
    </row>
    <row r="17" spans="2:9" ht="45">
      <c r="B17" s="9" t="s">
        <v>25</v>
      </c>
      <c r="C17" s="9" t="s">
        <v>39</v>
      </c>
      <c r="D17" s="9" t="s">
        <v>45</v>
      </c>
      <c r="E17" s="9" t="s">
        <v>46</v>
      </c>
      <c r="F17" s="10" t="s">
        <v>47</v>
      </c>
      <c r="G17" s="10" t="s">
        <v>48</v>
      </c>
      <c r="H17" s="10" t="s">
        <v>49</v>
      </c>
      <c r="I17" s="9"/>
    </row>
    <row r="18" spans="2:9" ht="60">
      <c r="B18" s="9" t="s">
        <v>25</v>
      </c>
      <c r="C18" s="9" t="s">
        <v>50</v>
      </c>
      <c r="D18" s="9" t="s">
        <v>51</v>
      </c>
      <c r="E18" s="9" t="s">
        <v>52</v>
      </c>
      <c r="F18" s="10" t="s">
        <v>47</v>
      </c>
      <c r="G18" s="10" t="s">
        <v>48</v>
      </c>
      <c r="H18" s="10" t="s">
        <v>49</v>
      </c>
      <c r="I18" s="9"/>
    </row>
    <row r="19" spans="2:9" ht="30">
      <c r="B19" s="9" t="s">
        <v>25</v>
      </c>
      <c r="C19" s="9" t="s">
        <v>50</v>
      </c>
      <c r="D19" s="9" t="s">
        <v>53</v>
      </c>
      <c r="E19" s="9" t="s">
        <v>54</v>
      </c>
      <c r="F19" s="10" t="s">
        <v>74</v>
      </c>
      <c r="G19" s="10" t="s">
        <v>74</v>
      </c>
      <c r="H19" s="10" t="s">
        <v>74</v>
      </c>
      <c r="I19" s="9"/>
    </row>
    <row r="20" spans="2:9" ht="30">
      <c r="B20" s="9" t="s">
        <v>25</v>
      </c>
      <c r="C20" s="9" t="s">
        <v>55</v>
      </c>
      <c r="D20" s="9" t="s">
        <v>55</v>
      </c>
      <c r="E20" s="9" t="s">
        <v>56</v>
      </c>
      <c r="F20" s="10" t="s">
        <v>68</v>
      </c>
      <c r="G20" s="10" t="s">
        <v>68</v>
      </c>
      <c r="H20" s="10" t="s">
        <v>68</v>
      </c>
      <c r="I20" s="9"/>
    </row>
    <row r="21" spans="2:9" ht="75">
      <c r="B21" s="9" t="s">
        <v>25</v>
      </c>
      <c r="C21" s="9" t="s">
        <v>57</v>
      </c>
      <c r="D21" s="9" t="s">
        <v>58</v>
      </c>
      <c r="E21" s="9" t="s">
        <v>59</v>
      </c>
      <c r="F21" s="10" t="s">
        <v>68</v>
      </c>
      <c r="G21" s="10" t="s">
        <v>68</v>
      </c>
      <c r="H21" s="10" t="s">
        <v>68</v>
      </c>
      <c r="I21" s="9"/>
    </row>
  </sheetData>
  <pageMargins left="0.7" right="0.7" top="0.75" bottom="0.75" header="0.3" footer="0.3"/>
  <pageSetup paperSize="9" orientation="portrait" horizontalDpi="90" verticalDpi="90" r:id="rId1"/>
  <headerFooter>
    <oddFooter>&amp;L&amp;1#&amp;"Calibri"&amp;10&amp;K737373Caterpillar: Confidential Green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"/>
  <sheetViews>
    <sheetView workbookViewId="0">
      <selection activeCell="F2" sqref="F2:F3"/>
    </sheetView>
  </sheetViews>
  <sheetFormatPr defaultRowHeight="15"/>
  <cols>
    <col min="2" max="2" width="12.85546875" bestFit="1" customWidth="1"/>
    <col min="3" max="3" width="25" customWidth="1"/>
  </cols>
  <sheetData>
    <row r="1" spans="2:6">
      <c r="B1" s="19"/>
      <c r="C1" s="19" t="s">
        <v>85</v>
      </c>
    </row>
    <row r="2" spans="2:6">
      <c r="B2" s="17" t="s">
        <v>4</v>
      </c>
      <c r="C2" s="18">
        <v>10771105.26</v>
      </c>
      <c r="D2" s="116">
        <f>+C2/SUM($C$2:$C$3)*'CBI %'!G75</f>
        <v>5.2029980916830768E-2</v>
      </c>
      <c r="F2" s="116">
        <f>+C2/($C$2+$C$3)</f>
        <v>0.22511539759489524</v>
      </c>
    </row>
    <row r="3" spans="2:6">
      <c r="B3" s="17" t="s">
        <v>5</v>
      </c>
      <c r="C3" s="18">
        <v>37075933.969999999</v>
      </c>
      <c r="D3" s="116">
        <f>+C3/SUM($C$2:$C$3)*'CBI %'!H75</f>
        <v>0.27140247254464461</v>
      </c>
      <c r="E3" s="117">
        <f>+D2+D3</f>
        <v>0.32343245346147537</v>
      </c>
      <c r="F3" s="116">
        <f>+C3/($C$2+$C$3)</f>
        <v>0.77488460240510482</v>
      </c>
    </row>
    <row r="4" spans="2:6">
      <c r="B4" s="17" t="s">
        <v>6</v>
      </c>
      <c r="C4" s="18">
        <v>7792921</v>
      </c>
    </row>
    <row r="5" spans="2:6">
      <c r="B5" s="17" t="s">
        <v>84</v>
      </c>
      <c r="C5" s="18">
        <v>12558990.680000003</v>
      </c>
    </row>
    <row r="6" spans="2:6">
      <c r="B6" s="17" t="s">
        <v>83</v>
      </c>
      <c r="C6" s="18">
        <v>331999632.15000004</v>
      </c>
    </row>
  </sheetData>
  <pageMargins left="0.7" right="0.7" top="0.75" bottom="0.75" header="0.3" footer="0.3"/>
  <pageSetup orientation="portrait" horizontalDpi="4294967293" verticalDpi="4294967293" r:id="rId1"/>
  <headerFooter>
    <oddFooter>&amp;L&amp;1#&amp;"Calibri"&amp;10&amp;K737373Caterpillar: Confidential Green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tabSelected="1" zoomScale="70" zoomScaleNormal="70" workbookViewId="0">
      <selection activeCell="J33" sqref="J33"/>
    </sheetView>
  </sheetViews>
  <sheetFormatPr defaultRowHeight="15"/>
  <cols>
    <col min="1" max="1" width="82.85546875" bestFit="1" customWidth="1"/>
    <col min="3" max="3" width="22.5703125" bestFit="1" customWidth="1"/>
    <col min="4" max="4" width="16.42578125" customWidth="1"/>
    <col min="5" max="6" width="0" hidden="1" customWidth="1"/>
    <col min="7" max="7" width="12.85546875" bestFit="1" customWidth="1"/>
    <col min="8" max="8" width="11.5703125" bestFit="1" customWidth="1"/>
    <col min="9" max="9" width="2.85546875" customWidth="1"/>
    <col min="10" max="10" width="12.85546875" bestFit="1" customWidth="1"/>
    <col min="11" max="11" width="11.5703125" bestFit="1" customWidth="1"/>
  </cols>
  <sheetData>
    <row r="1" spans="1:22">
      <c r="A1" s="118" t="s">
        <v>226</v>
      </c>
      <c r="B1" s="119"/>
      <c r="C1" s="120"/>
      <c r="D1" t="s">
        <v>230</v>
      </c>
      <c r="G1" s="117">
        <v>0.22511539759489524</v>
      </c>
      <c r="H1" s="117">
        <v>0.77488460240510482</v>
      </c>
      <c r="I1" s="117"/>
      <c r="J1" s="117"/>
    </row>
    <row r="2" spans="1:22">
      <c r="A2" s="121" t="s">
        <v>227</v>
      </c>
      <c r="B2" s="122"/>
      <c r="C2" s="123"/>
      <c r="G2" t="s">
        <v>4</v>
      </c>
      <c r="H2" t="s">
        <v>5</v>
      </c>
      <c r="J2" t="s">
        <v>4</v>
      </c>
      <c r="K2" t="s">
        <v>5</v>
      </c>
    </row>
    <row r="3" spans="1:22">
      <c r="A3" s="124" t="s">
        <v>26</v>
      </c>
      <c r="B3" s="125"/>
      <c r="C3" s="126"/>
    </row>
    <row r="4" spans="1:22">
      <c r="A4" s="127" t="s">
        <v>27</v>
      </c>
      <c r="B4" s="128"/>
      <c r="C4" s="129">
        <f>G4*$G$1+H4*$H$1</f>
        <v>3.6753461927846855E-4</v>
      </c>
      <c r="D4" s="153">
        <f>J4*$G$1+K4*$H$1</f>
        <v>3.6753461927846855E-4</v>
      </c>
      <c r="G4" s="156">
        <f>+'CBI %'!G29</f>
        <v>5.9999999999999995E-4</v>
      </c>
      <c r="H4" s="156">
        <f>+'CBI %'!H29</f>
        <v>2.9999999999999997E-4</v>
      </c>
      <c r="I4" s="153"/>
      <c r="J4" s="158">
        <f>G4</f>
        <v>5.9999999999999995E-4</v>
      </c>
      <c r="K4" s="158">
        <f>H4</f>
        <v>2.9999999999999997E-4</v>
      </c>
      <c r="L4" t="s">
        <v>232</v>
      </c>
    </row>
    <row r="5" spans="1:22">
      <c r="A5" s="127" t="s">
        <v>30</v>
      </c>
      <c r="B5" s="128"/>
      <c r="C5" s="129">
        <f t="shared" ref="C5:C7" si="0">G5*$G$1+H5*$H$1</f>
        <v>6.6619907681924093E-2</v>
      </c>
      <c r="D5" s="153">
        <f t="shared" ref="D5:D7" si="1">J5*$G$1+K5*$H$1</f>
        <v>6.6619907681924093E-2</v>
      </c>
      <c r="G5" s="156">
        <f>+'CBI %'!G17+'CBI %'!G24</f>
        <v>6.6000000000000003E-2</v>
      </c>
      <c r="H5" s="156">
        <f>+'CBI %'!H17+'CBI %'!H24</f>
        <v>6.6799999999999998E-2</v>
      </c>
      <c r="I5" s="153"/>
      <c r="J5" s="153">
        <f t="shared" ref="J5:K5" si="2">G5</f>
        <v>6.6000000000000003E-2</v>
      </c>
      <c r="K5" s="153">
        <f t="shared" si="2"/>
        <v>6.6799999999999998E-2</v>
      </c>
    </row>
    <row r="6" spans="1:22">
      <c r="A6" s="127" t="s">
        <v>33</v>
      </c>
      <c r="B6" s="128"/>
      <c r="C6" s="129">
        <f t="shared" si="0"/>
        <v>0</v>
      </c>
      <c r="D6" s="153">
        <f t="shared" si="1"/>
        <v>0</v>
      </c>
    </row>
    <row r="7" spans="1:22">
      <c r="A7" s="127" t="s">
        <v>36</v>
      </c>
      <c r="B7" s="128"/>
      <c r="C7" s="129">
        <f t="shared" si="0"/>
        <v>8.7437969002329863E-2</v>
      </c>
      <c r="D7" s="153">
        <f t="shared" si="1"/>
        <v>8.7437969002329863E-2</v>
      </c>
      <c r="G7" s="156">
        <f>+'CBI %'!G26</f>
        <v>7.3800000000000004E-2</v>
      </c>
      <c r="H7" s="156">
        <f>+'CBI %'!H26+'CBI %'!H27+'CBI %'!H28</f>
        <v>9.1400000000000009E-2</v>
      </c>
      <c r="I7" s="153"/>
      <c r="J7" s="153">
        <f>G7</f>
        <v>7.3800000000000004E-2</v>
      </c>
      <c r="K7" s="153">
        <f>H7</f>
        <v>9.1400000000000009E-2</v>
      </c>
    </row>
    <row r="8" spans="1:22">
      <c r="A8" s="130" t="s">
        <v>39</v>
      </c>
      <c r="B8" s="131"/>
      <c r="C8" s="132"/>
      <c r="D8" s="153"/>
    </row>
    <row r="9" spans="1:22">
      <c r="A9" s="127" t="s">
        <v>40</v>
      </c>
      <c r="B9" s="128"/>
      <c r="C9" s="129">
        <f t="shared" ref="C9:C11" si="3">G9*$G$1+H9*$H$1</f>
        <v>6.8000000000000005E-2</v>
      </c>
      <c r="D9" s="153">
        <f t="shared" ref="D9:D11" si="4">J9*$G$1+K9*$H$1</f>
        <v>6.8000000000000005E-2</v>
      </c>
      <c r="G9" s="156">
        <f>+'CBI %'!G18</f>
        <v>6.8000000000000005E-2</v>
      </c>
      <c r="H9" s="156">
        <f>+'CBI %'!H18</f>
        <v>6.8000000000000005E-2</v>
      </c>
      <c r="I9" s="153"/>
      <c r="J9" s="153">
        <f>G9</f>
        <v>6.8000000000000005E-2</v>
      </c>
      <c r="K9" s="153">
        <f>H9</f>
        <v>6.8000000000000005E-2</v>
      </c>
    </row>
    <row r="10" spans="1:22">
      <c r="A10" s="127" t="s">
        <v>43</v>
      </c>
      <c r="B10" s="128"/>
      <c r="C10" s="129">
        <f t="shared" si="3"/>
        <v>2.5538591429083229E-4</v>
      </c>
      <c r="D10" s="153">
        <f t="shared" si="4"/>
        <v>2.5538591429083229E-4</v>
      </c>
      <c r="G10" s="156">
        <f>+'CBI %'!G19</f>
        <v>2.5538591429083229E-4</v>
      </c>
      <c r="H10" s="156">
        <f>+'CBI %'!H19</f>
        <v>2.5538591429083229E-4</v>
      </c>
      <c r="I10" s="153"/>
      <c r="J10" s="153">
        <f>G10</f>
        <v>2.5538591429083229E-4</v>
      </c>
      <c r="K10" s="153">
        <f>H10</f>
        <v>2.5538591429083229E-4</v>
      </c>
    </row>
    <row r="11" spans="1:22">
      <c r="A11" s="127" t="s">
        <v>45</v>
      </c>
      <c r="B11" s="128"/>
      <c r="C11" s="129">
        <f t="shared" si="3"/>
        <v>0</v>
      </c>
      <c r="D11" s="153">
        <f t="shared" si="4"/>
        <v>0</v>
      </c>
    </row>
    <row r="12" spans="1:22">
      <c r="A12" s="133" t="s">
        <v>50</v>
      </c>
      <c r="B12" s="134"/>
      <c r="C12" s="135"/>
      <c r="D12" s="153"/>
    </row>
    <row r="13" spans="1:22">
      <c r="A13" s="127" t="s">
        <v>51</v>
      </c>
      <c r="B13" s="128"/>
      <c r="C13" s="129">
        <f t="shared" ref="C13:C16" si="5">G13*$G$1+H13*$H$1</f>
        <v>0</v>
      </c>
      <c r="D13" s="153">
        <f t="shared" ref="D13:D16" si="6">J13*$G$1+K13*$H$1</f>
        <v>0</v>
      </c>
      <c r="L13" t="s">
        <v>228</v>
      </c>
    </row>
    <row r="14" spans="1:22">
      <c r="A14" s="136" t="s">
        <v>217</v>
      </c>
      <c r="B14" s="128"/>
      <c r="C14" s="129">
        <f t="shared" si="5"/>
        <v>1.1623269036076573E-2</v>
      </c>
      <c r="D14" s="153">
        <f t="shared" si="6"/>
        <v>1.1623269036076573E-2</v>
      </c>
      <c r="H14" s="156">
        <f>'CBI %'!H37</f>
        <v>1.4999999999999999E-2</v>
      </c>
      <c r="I14" s="153"/>
      <c r="J14" s="153">
        <f>G14</f>
        <v>0</v>
      </c>
      <c r="K14" s="153">
        <f>H14</f>
        <v>1.4999999999999999E-2</v>
      </c>
    </row>
    <row r="15" spans="1:22">
      <c r="A15" s="157" t="s">
        <v>53</v>
      </c>
      <c r="B15" s="128"/>
      <c r="C15" s="129">
        <f t="shared" si="5"/>
        <v>7.3142383758736922E-3</v>
      </c>
      <c r="D15" s="153">
        <f t="shared" si="6"/>
        <v>1.9E-2</v>
      </c>
      <c r="G15" s="153">
        <f>+'CBI %'!G31</f>
        <v>2.2000000000000001E-3</v>
      </c>
      <c r="H15" s="153">
        <f>+'CBI %'!H31</f>
        <v>8.8000000000000005E-3</v>
      </c>
      <c r="I15" s="153"/>
      <c r="J15" s="155">
        <v>1.9E-2</v>
      </c>
      <c r="K15" s="155">
        <v>1.9E-2</v>
      </c>
      <c r="L15" t="s">
        <v>231</v>
      </c>
      <c r="V15">
        <v>221</v>
      </c>
    </row>
    <row r="16" spans="1:22">
      <c r="A16" s="127" t="s">
        <v>218</v>
      </c>
      <c r="B16" s="128"/>
      <c r="C16" s="129">
        <f t="shared" si="5"/>
        <v>0</v>
      </c>
      <c r="D16" s="153">
        <f t="shared" si="6"/>
        <v>0</v>
      </c>
      <c r="V16">
        <v>156</v>
      </c>
    </row>
    <row r="17" spans="1:22">
      <c r="A17" s="133" t="s">
        <v>219</v>
      </c>
      <c r="B17" s="134"/>
      <c r="C17" s="135"/>
      <c r="D17" s="153"/>
      <c r="V17">
        <f>AVERAGE(V15:V16)</f>
        <v>188.5</v>
      </c>
    </row>
    <row r="18" spans="1:22">
      <c r="A18" s="127" t="s">
        <v>220</v>
      </c>
      <c r="B18" s="128"/>
      <c r="C18" s="129">
        <f t="shared" ref="C18:C24" si="7">G18*$G$1+H18*$H$1</f>
        <v>6.9796307276963352E-3</v>
      </c>
      <c r="D18" s="153">
        <f t="shared" ref="D18:D24" si="8">J18*$G$1+K18*$H$1</f>
        <v>6.9796307276963352E-3</v>
      </c>
      <c r="G18" s="156">
        <f>'CBI %'!G11</f>
        <v>4.4999999999999997E-3</v>
      </c>
      <c r="H18" s="156">
        <f>'CBI %'!H11+'CBI %'!H9+'CBI %'!H8</f>
        <v>7.7000000000000002E-3</v>
      </c>
      <c r="I18" s="153"/>
      <c r="J18" s="153">
        <f>G18</f>
        <v>4.4999999999999997E-3</v>
      </c>
      <c r="K18" s="153">
        <f>H18</f>
        <v>7.7000000000000002E-3</v>
      </c>
    </row>
    <row r="19" spans="1:22">
      <c r="A19" s="127" t="s">
        <v>221</v>
      </c>
      <c r="B19" s="128"/>
      <c r="C19" s="129">
        <f t="shared" si="7"/>
        <v>7.7488460240510487E-3</v>
      </c>
      <c r="D19" s="153">
        <f t="shared" si="8"/>
        <v>7.7488460240510487E-3</v>
      </c>
      <c r="H19" s="156">
        <f>'CBI %'!H38</f>
        <v>0.01</v>
      </c>
      <c r="I19" s="153"/>
      <c r="J19" s="153">
        <f>G19</f>
        <v>0</v>
      </c>
      <c r="K19" s="153">
        <f>H19</f>
        <v>0.01</v>
      </c>
    </row>
    <row r="20" spans="1:22">
      <c r="A20" s="127" t="s">
        <v>23</v>
      </c>
      <c r="B20" s="128"/>
      <c r="C20" s="129">
        <f t="shared" si="7"/>
        <v>0</v>
      </c>
      <c r="D20" s="153">
        <f t="shared" si="8"/>
        <v>0</v>
      </c>
    </row>
    <row r="21" spans="1:22">
      <c r="A21" s="157" t="s">
        <v>222</v>
      </c>
      <c r="B21" s="128"/>
      <c r="C21" s="129">
        <f t="shared" si="7"/>
        <v>3.3887613943808501E-2</v>
      </c>
      <c r="D21" s="153">
        <f t="shared" si="8"/>
        <v>3.3824614769370341E-2</v>
      </c>
      <c r="G21" s="153">
        <f>'CBI %'!G33</f>
        <v>5.2750000000000002E-3</v>
      </c>
      <c r="H21" s="153">
        <f>'CBI %'!H33+'CBI %'!H36</f>
        <v>4.2200000000000001E-2</v>
      </c>
      <c r="I21" s="153"/>
      <c r="J21" s="155">
        <f>10.29%/12</f>
        <v>8.5749999999999993E-3</v>
      </c>
      <c r="K21" s="155">
        <f>10.29%/2.5</f>
        <v>4.1159999999999995E-2</v>
      </c>
      <c r="L21" t="s">
        <v>229</v>
      </c>
    </row>
    <row r="22" spans="1:22">
      <c r="A22" s="127" t="s">
        <v>12</v>
      </c>
      <c r="B22" s="128"/>
      <c r="C22" s="129">
        <f t="shared" si="7"/>
        <v>2.8672954107049776E-2</v>
      </c>
      <c r="D22" s="153">
        <f t="shared" si="8"/>
        <v>2.8672954107049776E-2</v>
      </c>
      <c r="G22" s="156">
        <f>'CBI %'!G6</f>
        <v>3.1858837896721962E-3</v>
      </c>
      <c r="H22" s="156">
        <f>'CBI %'!H6</f>
        <v>3.607732367410172E-2</v>
      </c>
      <c r="I22" s="153"/>
      <c r="J22" s="153">
        <f>G22</f>
        <v>3.1858837896721962E-3</v>
      </c>
      <c r="K22" s="153">
        <f>H22</f>
        <v>3.607732367410172E-2</v>
      </c>
    </row>
    <row r="23" spans="1:22">
      <c r="A23" s="127" t="s">
        <v>14</v>
      </c>
      <c r="B23" s="128"/>
      <c r="C23" s="129">
        <f t="shared" si="7"/>
        <v>4.5251040290962639E-3</v>
      </c>
      <c r="D23" s="153">
        <f t="shared" si="8"/>
        <v>4.5251040290962639E-3</v>
      </c>
      <c r="G23" s="156">
        <f>'CBI %'!G7</f>
        <v>7.309550531847479E-3</v>
      </c>
      <c r="H23" s="156">
        <f>'CBI %'!H7</f>
        <v>3.7161812816277873E-3</v>
      </c>
      <c r="I23" s="153"/>
      <c r="J23" s="153">
        <f>G23</f>
        <v>7.309550531847479E-3</v>
      </c>
      <c r="K23" s="153">
        <f>H23</f>
        <v>3.7161812816277873E-3</v>
      </c>
    </row>
    <row r="24" spans="1:22">
      <c r="A24" s="137" t="s">
        <v>223</v>
      </c>
      <c r="B24" s="128"/>
      <c r="C24" s="138">
        <f t="shared" si="7"/>
        <v>0</v>
      </c>
      <c r="D24" s="153">
        <f t="shared" si="8"/>
        <v>0</v>
      </c>
    </row>
    <row r="25" spans="1:22">
      <c r="A25" s="139" t="s">
        <v>55</v>
      </c>
      <c r="B25" s="140"/>
      <c r="C25" s="141"/>
    </row>
    <row r="26" spans="1:22">
      <c r="A26" s="142"/>
      <c r="B26" s="143"/>
      <c r="C26" s="144"/>
    </row>
    <row r="27" spans="1:22">
      <c r="A27" s="145"/>
      <c r="B27" s="146" t="s">
        <v>224</v>
      </c>
      <c r="C27" s="147">
        <f>SUM(C18:C24,C13:C16,C9:C11,C4:C7)</f>
        <v>0.32343245346147548</v>
      </c>
      <c r="D27" s="147">
        <f>SUM(D18:D24,D13:D16,D9:D11,D4:D7)</f>
        <v>0.33505521591116361</v>
      </c>
      <c r="G27" s="154">
        <f>SUM(G18:G24,G13:G16,G9:G11,G4:G7)</f>
        <v>0.23112582023581055</v>
      </c>
      <c r="H27" s="154">
        <f>SUM(H18:H24,H13:H16,H9:H11,H4:H7)</f>
        <v>0.35024889087002042</v>
      </c>
      <c r="I27" s="154"/>
      <c r="J27" s="154">
        <f>SUM(J18:J24,J13:J16,J9:J11,J4:J7)</f>
        <v>0.25122582023581053</v>
      </c>
      <c r="K27" s="154">
        <f>SUM(K18:K24,K13:K16,K9:K11,K4:K7)</f>
        <v>0.35940889087002037</v>
      </c>
    </row>
    <row r="28" spans="1:22">
      <c r="A28" s="145"/>
      <c r="B28" s="148"/>
      <c r="C28" s="149"/>
    </row>
    <row r="29" spans="1:22">
      <c r="A29" s="150"/>
      <c r="B29" s="151" t="s">
        <v>225</v>
      </c>
      <c r="C29" s="152">
        <f>1+C27</f>
        <v>1.3234324534614754</v>
      </c>
      <c r="D29" s="152">
        <f>1+D27</f>
        <v>1.3350552159111637</v>
      </c>
      <c r="H29" s="153">
        <f>'CBI %'!H75-'Cat CBI Template'!H27</f>
        <v>0</v>
      </c>
      <c r="I29" s="153"/>
      <c r="J29" s="153"/>
    </row>
    <row r="30" spans="1:22">
      <c r="K30" t="s">
        <v>89</v>
      </c>
    </row>
    <row r="38" spans="10:10">
      <c r="J38" t="s">
        <v>89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59D057C9B46B43B5C3AA1F357E9895" ma:contentTypeVersion="12" ma:contentTypeDescription="Create a new document." ma:contentTypeScope="" ma:versionID="ca047d8af820d15dec5649f716859cb8">
  <xsd:schema xmlns:xsd="http://www.w3.org/2001/XMLSchema" xmlns:xs="http://www.w3.org/2001/XMLSchema" xmlns:p="http://schemas.microsoft.com/office/2006/metadata/properties" xmlns:ns3="d9be4263-7d01-4cce-86b8-2c1eb9e39d19" xmlns:ns4="83a09691-d17b-47b0-a2c9-e826b8839e0c" targetNamespace="http://schemas.microsoft.com/office/2006/metadata/properties" ma:root="true" ma:fieldsID="577923d69b50ab809de00ae0319f9637" ns3:_="" ns4:_="">
    <xsd:import namespace="d9be4263-7d01-4cce-86b8-2c1eb9e39d19"/>
    <xsd:import namespace="83a09691-d17b-47b0-a2c9-e826b8839e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e4263-7d01-4cce-86b8-2c1eb9e39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09691-d17b-47b0-a2c9-e826b8839e0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CA3DA-BEF5-44F8-863F-5351FB0A87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456E1-10D6-480B-A4EC-B7112368C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e4263-7d01-4cce-86b8-2c1eb9e39d19"/>
    <ds:schemaRef ds:uri="83a09691-d17b-47b0-a2c9-e826b8839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FF530D-DC02-466A-B6A6-D6C31A6A44D1}">
  <ds:schemaRefs>
    <ds:schemaRef ds:uri="http://schemas.microsoft.com/office/2006/documentManagement/types"/>
    <ds:schemaRef ds:uri="http://schemas.microsoft.com/office/infopath/2007/PartnerControls"/>
    <ds:schemaRef ds:uri="d9be4263-7d01-4cce-86b8-2c1eb9e39d19"/>
    <ds:schemaRef ds:uri="http://purl.org/dc/elements/1.1/"/>
    <ds:schemaRef ds:uri="http://schemas.microsoft.com/office/2006/metadata/properties"/>
    <ds:schemaRef ds:uri="83a09691-d17b-47b0-a2c9-e826b8839e0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CBI %</vt:lpstr>
      <vt:lpstr>CBI Value YTD</vt:lpstr>
      <vt:lpstr>Purchase YTD</vt:lpstr>
      <vt:lpstr>Cat CBI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Palti Timeyer Hutajulu</dc:creator>
  <cp:lastModifiedBy>Personal Admin Sales &amp; Marketing</cp:lastModifiedBy>
  <dcterms:created xsi:type="dcterms:W3CDTF">2019-10-15T03:23:15Z</dcterms:created>
  <dcterms:modified xsi:type="dcterms:W3CDTF">2020-01-15T07:38:26Z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iteId">
    <vt:lpwstr>ceb177bf-013b-49ab-8a9c-4abce32afc1e</vt:lpwstr>
  </property>
  <property fmtid="{D5CDD505-2E9C-101B-9397-08002B2CF9AE}" pid="4" name="MSIP_Label_fb5e2db6-eecf-4aa2-8fc3-174bf94bce19_Owner">
    <vt:lpwstr>Oh_Eng_Tze@cat.com</vt:lpwstr>
  </property>
  <property fmtid="{D5CDD505-2E9C-101B-9397-08002B2CF9AE}" pid="5" name="MSIP_Label_fb5e2db6-eecf-4aa2-8fc3-174bf94bce19_SetDate">
    <vt:lpwstr>2019-12-10T07:35:28.5870816Z</vt:lpwstr>
  </property>
  <property fmtid="{D5CDD505-2E9C-101B-9397-08002B2CF9AE}" pid="6" name="MSIP_Label_fb5e2db6-eecf-4aa2-8fc3-174bf94bce19_Name">
    <vt:lpwstr>Cat Confidential Green</vt:lpwstr>
  </property>
  <property fmtid="{D5CDD505-2E9C-101B-9397-08002B2CF9AE}" pid="7" name="MSIP_Label_fb5e2db6-eecf-4aa2-8fc3-174bf94bce19_Application">
    <vt:lpwstr>Microsoft Azure Information Protection</vt:lpwstr>
  </property>
  <property fmtid="{D5CDD505-2E9C-101B-9397-08002B2CF9AE}" pid="8" name="MSIP_Label_fb5e2db6-eecf-4aa2-8fc3-174bf94bce19_Extended_MSFT_Method">
    <vt:lpwstr>Automatic</vt:lpwstr>
  </property>
  <property fmtid="{D5CDD505-2E9C-101B-9397-08002B2CF9AE}" pid="9" name="Sensitivity">
    <vt:lpwstr>Cat Confidential Green</vt:lpwstr>
  </property>
  <property fmtid="{D5CDD505-2E9C-101B-9397-08002B2CF9AE}" pid="10" name="ContentTypeId">
    <vt:lpwstr>0x0101007459D057C9B46B43B5C3AA1F357E9895</vt:lpwstr>
  </property>
</Properties>
</file>